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tables/table15.xml" ContentType="application/vnd.openxmlformats-officedocument.spreadsheetml.table+xml"/>
  <Override PartName="/xl/tables/table16.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tables/table17.xml" ContentType="application/vnd.openxmlformats-officedocument.spreadsheetml.table+xml"/>
  <Override PartName="/xl/tables/table18.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tables/table19.xml" ContentType="application/vnd.openxmlformats-officedocument.spreadsheetml.table+xml"/>
  <Override PartName="/xl/tables/table2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tables/table21.xml" ContentType="application/vnd.openxmlformats-officedocument.spreadsheetml.table+xml"/>
  <Override PartName="/xl/tables/table22.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U:\_Technical 2017 2018 2019\_Plans\2019\"/>
    </mc:Choice>
  </mc:AlternateContent>
  <xr:revisionPtr revIDLastSave="0" documentId="13_ncr:1_{1FC35C2F-DA51-41C8-88BA-DE8BD93C3E5D}" xr6:coauthVersionLast="43" xr6:coauthVersionMax="43" xr10:uidLastSave="{00000000-0000-0000-0000-000000000000}"/>
  <bookViews>
    <workbookView xWindow="9975" yWindow="2460" windowWidth="17505" windowHeight="11385" activeTab="1" xr2:uid="{00000000-000D-0000-FFFF-FFFF00000000}"/>
  </bookViews>
  <sheets>
    <sheet name="Summary" sheetId="23" r:id="rId1"/>
    <sheet name="Level 1" sheetId="1" r:id="rId2"/>
    <sheet name="Level 2" sheetId="43" r:id="rId3"/>
    <sheet name="Level 3" sheetId="44" r:id="rId4"/>
    <sheet name="Level 4" sheetId="45" r:id="rId5"/>
    <sheet name="Level 5" sheetId="47" r:id="rId6"/>
    <sheet name="Level 6" sheetId="48" r:id="rId7"/>
    <sheet name="Level 7" sheetId="49" r:id="rId8"/>
    <sheet name="Level 8" sheetId="50" r:id="rId9"/>
    <sheet name="Level 9" sheetId="51" r:id="rId10"/>
    <sheet name="Level 10" sheetId="46" r:id="rId11"/>
    <sheet name="Man Hours" sheetId="53" r:id="rId12"/>
    <sheet name="Misc. Items" sheetId="52" r:id="rId13"/>
    <sheet name="Misc. Calculators" sheetId="42" r:id="rId14"/>
    <sheet name="Materials Calculators" sheetId="54" r:id="rId15"/>
  </sheets>
  <externalReferences>
    <externalReference r:id="rId16"/>
    <externalReference r:id="rId17"/>
  </externalReferences>
  <definedNames>
    <definedName name="_xlnm._FilterDatabase" localSheetId="1" hidden="1">'Level 1'!$B$2:$U$67</definedName>
    <definedName name="_xlnm._FilterDatabase" localSheetId="10" hidden="1">'Level 10'!$B$2:$U$67</definedName>
    <definedName name="_xlnm._FilterDatabase" localSheetId="2" hidden="1">'Level 2'!$B$2:$U$67</definedName>
    <definedName name="_xlnm._FilterDatabase" localSheetId="3" hidden="1">'Level 3'!$B$2:$U$67</definedName>
    <definedName name="_xlnm._FilterDatabase" localSheetId="4" hidden="1">'Level 4'!$B$2:$U$67</definedName>
    <definedName name="_xlnm._FilterDatabase" localSheetId="5" hidden="1">'Level 5'!$B$2:$U$67</definedName>
    <definedName name="_xlnm._FilterDatabase" localSheetId="6" hidden="1">'Level 6'!$B$2:$U$67</definedName>
    <definedName name="_xlnm._FilterDatabase" localSheetId="7" hidden="1">'Level 7'!$B$2:$U$67</definedName>
    <definedName name="_xlnm._FilterDatabase" localSheetId="8" hidden="1">'Level 8'!$B$2:$U$67</definedName>
    <definedName name="_xlnm._FilterDatabase" localSheetId="9" hidden="1">'Level 9'!$B$2:$U$67</definedName>
    <definedName name="_xlnm._FilterDatabase" localSheetId="0" hidden="1">Summary!$P$13:$P$22</definedName>
    <definedName name="BB445_">Summary!$M$23:$T$23</definedName>
    <definedName name="BB490_">Summary!#REF!</definedName>
    <definedName name="BB645_">Summary!$Q$26:$T$26</definedName>
    <definedName name="BB690_">Summary!$Q$25:$T$25</definedName>
    <definedName name="BB6BL">Summary!$M$35:$T$35</definedName>
    <definedName name="BB6DT">Summary!$M$37:$T$37</definedName>
    <definedName name="BB845_">Summary!$Q$29:$T$29</definedName>
    <definedName name="BB890_">Summary!$Q$28:$T$28</definedName>
    <definedName name="BB8BL">Summary!$M$36:$T$36</definedName>
    <definedName name="BB8DT">Summary!$M$38:$T$38</definedName>
    <definedName name="BDA">Summary!$S$50:$S$52</definedName>
    <definedName name="BDB">Summary!$T$50:$T$52</definedName>
    <definedName name="BL1090_">Summary!$Q$31:$T$31</definedName>
    <definedName name="BL1290_">Summary!$Q$34:$T$34</definedName>
    <definedName name="BLA">Summary!$S$46:$S$47</definedName>
    <definedName name="BLB">Summary!$T$46:$T$47</definedName>
    <definedName name="BlocksA">Summary!$S$25:$S$35</definedName>
    <definedName name="BlocksB">Summary!$T$25:$T$35</definedName>
    <definedName name="DTA">Summary!$S$48:$S$49</definedName>
    <definedName name="DTB">Summary!$T$48:$T$49</definedName>
    <definedName name="_xlnm.Extract" localSheetId="1">'Level 1'!#REF!</definedName>
    <definedName name="_xlnm.Extract" localSheetId="10">'Level 10'!#REF!</definedName>
    <definedName name="_xlnm.Extract" localSheetId="2">'Level 2'!#REF!</definedName>
    <definedName name="_xlnm.Extract" localSheetId="3">'Level 3'!#REF!</definedName>
    <definedName name="_xlnm.Extract" localSheetId="4">'Level 4'!#REF!</definedName>
    <definedName name="_xlnm.Extract" localSheetId="5">'Level 5'!#REF!</definedName>
    <definedName name="_xlnm.Extract" localSheetId="6">'Level 6'!#REF!</definedName>
    <definedName name="_xlnm.Extract" localSheetId="7">'Level 7'!#REF!</definedName>
    <definedName name="_xlnm.Extract" localSheetId="8">'Level 8'!#REF!</definedName>
    <definedName name="_xlnm.Extract" localSheetId="9">'Level 9'!#REF!</definedName>
    <definedName name="_xlnm.Extract" localSheetId="0">Summary!$B$18:$B$24</definedName>
    <definedName name="FortyfivesA">Summary!$S$43:$S$45</definedName>
    <definedName name="FortyfivesB">Summary!$T$43:$T$45</definedName>
    <definedName name="Level1">Summary!$N$24:$N$35</definedName>
    <definedName name="Level2">Summary!$O$23:$O$35</definedName>
    <definedName name="Level3">Summary!$P$23:$P$24</definedName>
    <definedName name="Level4">Summary!$Q$23:$Q$38</definedName>
    <definedName name="Level5">Summary!$R$23:$R$38</definedName>
    <definedName name="Level6">Summary!$S$23:$S$38</definedName>
    <definedName name="Level7">Summary!$T$23:$T$38</definedName>
    <definedName name="NinetiesA">Summary!$S$36:$S$42</definedName>
    <definedName name="NinetiesB">Summary!$T$36:$T$42</definedName>
    <definedName name="_xlnm.Print_Area" localSheetId="1">'Level 1'!$B$1:$L$33</definedName>
    <definedName name="_xlnm.Print_Area" localSheetId="10">'Level 10'!$B$1:$L$33</definedName>
    <definedName name="_xlnm.Print_Area" localSheetId="2">'Level 2'!$B$1:$L$33</definedName>
    <definedName name="_xlnm.Print_Area" localSheetId="3">'Level 3'!$B$1:$L$33</definedName>
    <definedName name="_xlnm.Print_Area" localSheetId="4">'Level 4'!$B$1:$L$33</definedName>
    <definedName name="_xlnm.Print_Area" localSheetId="5">'Level 5'!$B$1:$L$33</definedName>
    <definedName name="_xlnm.Print_Area" localSheetId="6">'Level 6'!$B$1:$L$33</definedName>
    <definedName name="_xlnm.Print_Area" localSheetId="7">'Level 7'!$B$1:$L$33</definedName>
    <definedName name="_xlnm.Print_Area" localSheetId="8">'Level 8'!$B$1:$L$33</definedName>
    <definedName name="_xlnm.Print_Area" localSheetId="9">'Level 9'!$B$1:$L$33</definedName>
    <definedName name="_xlnm.Print_Area" localSheetId="0">Summary!$A$3:$K$43</definedName>
    <definedName name="Rebar">Summary!$J$69:$J$74</definedName>
    <definedName name="solver_eng" localSheetId="13" hidden="1">1</definedName>
    <definedName name="solver_neg" localSheetId="13" hidden="1">1</definedName>
    <definedName name="solver_num" localSheetId="13" hidden="1">0</definedName>
    <definedName name="solver_opt" localSheetId="13" hidden="1">'Misc. Calculators'!$C$112</definedName>
    <definedName name="solver_typ" localSheetId="13" hidden="1">1</definedName>
    <definedName name="solver_val" localSheetId="13" hidden="1">0</definedName>
    <definedName name="solver_ver" localSheetId="13" hidden="1">3</definedName>
    <definedName name="Waste">[1]Sheet2!$A$1:$A$11</definedName>
    <definedName name="Waste2">[2]Sheet2!$A$1:$A$11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5" i="46" l="1"/>
  <c r="J25" i="51"/>
  <c r="J25" i="50"/>
  <c r="J25" i="49"/>
  <c r="J25" i="48"/>
  <c r="J25" i="47"/>
  <c r="J25" i="45"/>
  <c r="J25" i="44"/>
  <c r="J25" i="43"/>
  <c r="J25" i="1"/>
  <c r="C6" i="43" l="1"/>
  <c r="H6" i="43"/>
  <c r="N61" i="23" l="1"/>
  <c r="N62" i="23"/>
  <c r="N63" i="23"/>
  <c r="N64" i="23"/>
  <c r="N65" i="23"/>
  <c r="N66" i="23"/>
  <c r="N67" i="23"/>
  <c r="N68" i="23"/>
  <c r="N60" i="23"/>
  <c r="N59" i="23"/>
  <c r="I29" i="23" l="1"/>
  <c r="I41" i="1"/>
  <c r="K41" i="1" s="1"/>
  <c r="J41" i="1"/>
  <c r="L41" i="1"/>
  <c r="L11" i="44" l="1"/>
  <c r="L11" i="45"/>
  <c r="L11" i="47"/>
  <c r="L11" i="48"/>
  <c r="L11" i="49"/>
  <c r="L11" i="50"/>
  <c r="L11" i="51"/>
  <c r="L11" i="46"/>
  <c r="L11" i="43"/>
  <c r="L11" i="1"/>
  <c r="C33" i="42" l="1"/>
  <c r="F117" i="46" l="1"/>
  <c r="F111" i="46"/>
  <c r="G115" i="46" s="1"/>
  <c r="F110" i="46"/>
  <c r="F113" i="46" s="1"/>
  <c r="F102" i="46"/>
  <c r="G96" i="46" s="1"/>
  <c r="F100" i="46"/>
  <c r="G100" i="46" s="1"/>
  <c r="F99" i="46"/>
  <c r="K97" i="46"/>
  <c r="K96" i="46"/>
  <c r="F117" i="51"/>
  <c r="F111" i="51"/>
  <c r="G115" i="51" s="1"/>
  <c r="F110" i="51"/>
  <c r="F113" i="51" s="1"/>
  <c r="F102" i="51"/>
  <c r="G96" i="51" s="1"/>
  <c r="F100" i="51"/>
  <c r="G100" i="51" s="1"/>
  <c r="F99" i="51"/>
  <c r="K97" i="51"/>
  <c r="K96" i="51"/>
  <c r="F117" i="50"/>
  <c r="F111" i="50"/>
  <c r="G115" i="50" s="1"/>
  <c r="F110" i="50"/>
  <c r="F113" i="50" s="1"/>
  <c r="F102" i="50"/>
  <c r="G96" i="50" s="1"/>
  <c r="F100" i="50"/>
  <c r="G100" i="50" s="1"/>
  <c r="F99" i="50"/>
  <c r="K97" i="50"/>
  <c r="K96" i="50"/>
  <c r="F117" i="49"/>
  <c r="F111" i="49"/>
  <c r="G115" i="49" s="1"/>
  <c r="F110" i="49"/>
  <c r="F113" i="49" s="1"/>
  <c r="F102" i="49"/>
  <c r="G96" i="49" s="1"/>
  <c r="F100" i="49"/>
  <c r="G100" i="49" s="1"/>
  <c r="F99" i="49"/>
  <c r="K97" i="49"/>
  <c r="K96" i="49"/>
  <c r="F117" i="48"/>
  <c r="F111" i="48"/>
  <c r="G115" i="48" s="1"/>
  <c r="F110" i="48"/>
  <c r="F113" i="48" s="1"/>
  <c r="F102" i="48"/>
  <c r="G96" i="48" s="1"/>
  <c r="F100" i="48"/>
  <c r="G100" i="48" s="1"/>
  <c r="F99" i="48"/>
  <c r="K97" i="48"/>
  <c r="K96" i="48"/>
  <c r="F117" i="47"/>
  <c r="F111" i="47"/>
  <c r="G115" i="47" s="1"/>
  <c r="F110" i="47"/>
  <c r="F113" i="47" s="1"/>
  <c r="F102" i="47"/>
  <c r="G96" i="47" s="1"/>
  <c r="F100" i="47"/>
  <c r="G100" i="47" s="1"/>
  <c r="F99" i="47"/>
  <c r="K97" i="47"/>
  <c r="K96" i="47"/>
  <c r="F117" i="45"/>
  <c r="F111" i="45"/>
  <c r="G115" i="45" s="1"/>
  <c r="F110" i="45"/>
  <c r="F113" i="45" s="1"/>
  <c r="F102" i="45"/>
  <c r="G96" i="45" s="1"/>
  <c r="F100" i="45"/>
  <c r="G100" i="45" s="1"/>
  <c r="F99" i="45"/>
  <c r="K97" i="45"/>
  <c r="K96" i="45"/>
  <c r="F117" i="44"/>
  <c r="F111" i="44"/>
  <c r="G115" i="44" s="1"/>
  <c r="F110" i="44"/>
  <c r="F113" i="44" s="1"/>
  <c r="F102" i="44"/>
  <c r="G96" i="44" s="1"/>
  <c r="F100" i="44"/>
  <c r="G100" i="44" s="1"/>
  <c r="F99" i="44"/>
  <c r="K97" i="44"/>
  <c r="K96" i="44"/>
  <c r="F117" i="43"/>
  <c r="F111" i="43"/>
  <c r="G115" i="43" s="1"/>
  <c r="F110" i="43"/>
  <c r="F113" i="43" s="1"/>
  <c r="F102" i="43"/>
  <c r="G96" i="43" s="1"/>
  <c r="F100" i="43"/>
  <c r="G100" i="43" s="1"/>
  <c r="F99" i="43"/>
  <c r="K97" i="43"/>
  <c r="K96" i="43"/>
  <c r="F118" i="43" l="1"/>
  <c r="F118" i="44"/>
  <c r="F118" i="45"/>
  <c r="F101" i="43"/>
  <c r="G97" i="43" s="1"/>
  <c r="F105" i="43" s="1"/>
  <c r="F101" i="44"/>
  <c r="G97" i="44" s="1"/>
  <c r="F105" i="44" s="1"/>
  <c r="D48" i="23" s="1"/>
  <c r="F118" i="47"/>
  <c r="F118" i="48"/>
  <c r="F118" i="49"/>
  <c r="F118" i="50"/>
  <c r="F118" i="51"/>
  <c r="F118" i="46"/>
  <c r="F114" i="43"/>
  <c r="F114" i="46"/>
  <c r="F114" i="45"/>
  <c r="F101" i="49"/>
  <c r="G97" i="49" s="1"/>
  <c r="F105" i="49" s="1"/>
  <c r="D52" i="23" s="1"/>
  <c r="F101" i="45"/>
  <c r="G97" i="45" s="1"/>
  <c r="F105" i="45" s="1"/>
  <c r="D49" i="23" s="1"/>
  <c r="F101" i="47"/>
  <c r="G97" i="47" s="1"/>
  <c r="F105" i="47" s="1"/>
  <c r="D50" i="23" s="1"/>
  <c r="F114" i="48"/>
  <c r="F101" i="50"/>
  <c r="G97" i="50" s="1"/>
  <c r="F105" i="50" s="1"/>
  <c r="D53" i="23" s="1"/>
  <c r="F101" i="48"/>
  <c r="G97" i="48" s="1"/>
  <c r="F105" i="48" s="1"/>
  <c r="D51" i="23" s="1"/>
  <c r="F114" i="51"/>
  <c r="F114" i="49"/>
  <c r="F101" i="51"/>
  <c r="G97" i="51" s="1"/>
  <c r="F105" i="51" s="1"/>
  <c r="D54" i="23" s="1"/>
  <c r="F114" i="47"/>
  <c r="F114" i="44"/>
  <c r="F114" i="50"/>
  <c r="F101" i="46"/>
  <c r="G97" i="46" s="1"/>
  <c r="F105" i="46" s="1"/>
  <c r="D55" i="23" s="1"/>
  <c r="C18" i="42"/>
  <c r="J89" i="43" l="1"/>
  <c r="J89" i="44"/>
  <c r="J89" i="45"/>
  <c r="J89" i="47"/>
  <c r="J89" i="48"/>
  <c r="J89" i="49"/>
  <c r="J89" i="50"/>
  <c r="J89" i="51"/>
  <c r="J89" i="46"/>
  <c r="J89" i="1"/>
  <c r="J68" i="43"/>
  <c r="J68" i="44"/>
  <c r="J68" i="45"/>
  <c r="J68" i="47"/>
  <c r="J68" i="48"/>
  <c r="J68" i="49"/>
  <c r="J68" i="50"/>
  <c r="J68" i="51"/>
  <c r="J68" i="46"/>
  <c r="B73" i="46"/>
  <c r="B74" i="46"/>
  <c r="B75" i="46"/>
  <c r="B76" i="46"/>
  <c r="B77" i="46"/>
  <c r="B78" i="46"/>
  <c r="B79" i="46"/>
  <c r="B80" i="46"/>
  <c r="B81" i="46"/>
  <c r="B82" i="46"/>
  <c r="B83" i="46"/>
  <c r="B84" i="46"/>
  <c r="B85" i="46"/>
  <c r="B86" i="46"/>
  <c r="B42" i="46"/>
  <c r="B43" i="46"/>
  <c r="B44" i="46"/>
  <c r="B45" i="46"/>
  <c r="B46" i="46"/>
  <c r="B47" i="46"/>
  <c r="B48" i="46"/>
  <c r="B49" i="46"/>
  <c r="B50" i="46"/>
  <c r="B51" i="46"/>
  <c r="B52" i="46"/>
  <c r="B53" i="46"/>
  <c r="B54" i="46"/>
  <c r="B55" i="46"/>
  <c r="B56" i="46"/>
  <c r="B57" i="46"/>
  <c r="B58" i="46"/>
  <c r="B59" i="46"/>
  <c r="B60" i="46"/>
  <c r="B61" i="46"/>
  <c r="B62" i="46"/>
  <c r="B63" i="46"/>
  <c r="B64" i="46"/>
  <c r="B65" i="46"/>
  <c r="B73" i="51"/>
  <c r="B74" i="51"/>
  <c r="B75" i="51"/>
  <c r="B76" i="51"/>
  <c r="B77" i="51"/>
  <c r="B78" i="51"/>
  <c r="B79" i="51"/>
  <c r="B80" i="51"/>
  <c r="B81" i="51"/>
  <c r="B82" i="51"/>
  <c r="B83" i="51"/>
  <c r="B84" i="51"/>
  <c r="B85" i="51"/>
  <c r="B86" i="51"/>
  <c r="B42" i="51"/>
  <c r="B43" i="51"/>
  <c r="B44" i="51"/>
  <c r="B45" i="51"/>
  <c r="B46" i="51"/>
  <c r="B47" i="51"/>
  <c r="B48" i="51"/>
  <c r="B49" i="51"/>
  <c r="B50" i="51"/>
  <c r="B51" i="51"/>
  <c r="B52" i="51"/>
  <c r="B53" i="51"/>
  <c r="B54" i="51"/>
  <c r="B55" i="51"/>
  <c r="B56" i="51"/>
  <c r="B57" i="51"/>
  <c r="B58" i="51"/>
  <c r="B59" i="51"/>
  <c r="B60" i="51"/>
  <c r="B61" i="51"/>
  <c r="B62" i="51"/>
  <c r="B63" i="51"/>
  <c r="B64" i="51"/>
  <c r="B65" i="51"/>
  <c r="B73" i="50"/>
  <c r="B74" i="50"/>
  <c r="B75" i="50"/>
  <c r="B76" i="50"/>
  <c r="B77" i="50"/>
  <c r="B78" i="50"/>
  <c r="B79" i="50"/>
  <c r="B80" i="50"/>
  <c r="B81" i="50"/>
  <c r="B82" i="50"/>
  <c r="B83" i="50"/>
  <c r="B84" i="50"/>
  <c r="B85" i="50"/>
  <c r="B86" i="50"/>
  <c r="B42" i="50"/>
  <c r="B43" i="50"/>
  <c r="B44" i="50"/>
  <c r="B45" i="50"/>
  <c r="B46" i="50"/>
  <c r="B47" i="50"/>
  <c r="B48" i="50"/>
  <c r="B49" i="50"/>
  <c r="B50" i="50"/>
  <c r="B51" i="50"/>
  <c r="B52" i="50"/>
  <c r="B53" i="50"/>
  <c r="B54" i="50"/>
  <c r="B55" i="50"/>
  <c r="B56" i="50"/>
  <c r="B57" i="50"/>
  <c r="B58" i="50"/>
  <c r="B59" i="50"/>
  <c r="B60" i="50"/>
  <c r="B61" i="50"/>
  <c r="B62" i="50"/>
  <c r="B63" i="50"/>
  <c r="B64" i="50"/>
  <c r="B65" i="50"/>
  <c r="B73" i="49"/>
  <c r="B74" i="49"/>
  <c r="B75" i="49"/>
  <c r="B76" i="49"/>
  <c r="B77" i="49"/>
  <c r="B78" i="49"/>
  <c r="B79" i="49"/>
  <c r="B80" i="49"/>
  <c r="B81" i="49"/>
  <c r="B82" i="49"/>
  <c r="B83" i="49"/>
  <c r="B84" i="49"/>
  <c r="B85" i="49"/>
  <c r="B86" i="49"/>
  <c r="B42" i="49"/>
  <c r="B43" i="49"/>
  <c r="B44" i="49"/>
  <c r="B45" i="49"/>
  <c r="B46" i="49"/>
  <c r="B47" i="49"/>
  <c r="B48" i="49"/>
  <c r="B49" i="49"/>
  <c r="B50" i="49"/>
  <c r="B51" i="49"/>
  <c r="B52" i="49"/>
  <c r="B53" i="49"/>
  <c r="B54" i="49"/>
  <c r="B55" i="49"/>
  <c r="B56" i="49"/>
  <c r="B57" i="49"/>
  <c r="B58" i="49"/>
  <c r="B59" i="49"/>
  <c r="B60" i="49"/>
  <c r="B61" i="49"/>
  <c r="B62" i="49"/>
  <c r="B63" i="49"/>
  <c r="B64" i="49"/>
  <c r="B65" i="49"/>
  <c r="B73" i="48"/>
  <c r="B74" i="48"/>
  <c r="B75" i="48"/>
  <c r="B76" i="48"/>
  <c r="B77" i="48"/>
  <c r="B78" i="48"/>
  <c r="B79" i="48"/>
  <c r="B80" i="48"/>
  <c r="B81" i="48"/>
  <c r="B82" i="48"/>
  <c r="B83" i="48"/>
  <c r="B84" i="48"/>
  <c r="B85" i="48"/>
  <c r="B86" i="48"/>
  <c r="B42" i="48"/>
  <c r="B43" i="48"/>
  <c r="B44" i="48"/>
  <c r="B45" i="48"/>
  <c r="B46" i="48"/>
  <c r="B47" i="48"/>
  <c r="B48" i="48"/>
  <c r="B49" i="48"/>
  <c r="B50" i="48"/>
  <c r="B51" i="48"/>
  <c r="B52" i="48"/>
  <c r="B53" i="48"/>
  <c r="B54" i="48"/>
  <c r="B55" i="48"/>
  <c r="B56" i="48"/>
  <c r="B57" i="48"/>
  <c r="B58" i="48"/>
  <c r="B59" i="48"/>
  <c r="B60" i="48"/>
  <c r="B61" i="48"/>
  <c r="B62" i="48"/>
  <c r="B63" i="48"/>
  <c r="B64" i="48"/>
  <c r="B65" i="48"/>
  <c r="B73" i="47"/>
  <c r="B74" i="47"/>
  <c r="B75" i="47"/>
  <c r="B76" i="47"/>
  <c r="B77" i="47"/>
  <c r="B78" i="47"/>
  <c r="B79" i="47"/>
  <c r="B80" i="47"/>
  <c r="B81" i="47"/>
  <c r="B82" i="47"/>
  <c r="B83" i="47"/>
  <c r="B84" i="47"/>
  <c r="B85" i="47"/>
  <c r="B86" i="47"/>
  <c r="B42" i="47"/>
  <c r="B43" i="47"/>
  <c r="B44" i="47"/>
  <c r="B45" i="47"/>
  <c r="B46" i="47"/>
  <c r="B47" i="47"/>
  <c r="B48" i="47"/>
  <c r="B49" i="47"/>
  <c r="B50" i="47"/>
  <c r="B51" i="47"/>
  <c r="B52" i="47"/>
  <c r="B53" i="47"/>
  <c r="B54" i="47"/>
  <c r="B55" i="47"/>
  <c r="B56" i="47"/>
  <c r="B57" i="47"/>
  <c r="B58" i="47"/>
  <c r="B59" i="47"/>
  <c r="B60" i="47"/>
  <c r="B61" i="47"/>
  <c r="B62" i="47"/>
  <c r="B63" i="47"/>
  <c r="B64" i="47"/>
  <c r="B65" i="47"/>
  <c r="B73" i="45"/>
  <c r="B74" i="45"/>
  <c r="B75" i="45"/>
  <c r="B76" i="45"/>
  <c r="B77" i="45"/>
  <c r="B78" i="45"/>
  <c r="B79" i="45"/>
  <c r="B80" i="45"/>
  <c r="B81" i="45"/>
  <c r="B82" i="45"/>
  <c r="B83" i="45"/>
  <c r="B84" i="45"/>
  <c r="B85" i="45"/>
  <c r="B86" i="45"/>
  <c r="B42" i="45"/>
  <c r="B43" i="45"/>
  <c r="B44" i="45"/>
  <c r="B45" i="45"/>
  <c r="B46" i="45"/>
  <c r="B47" i="45"/>
  <c r="B48" i="45"/>
  <c r="B49" i="45"/>
  <c r="B50" i="45"/>
  <c r="B51" i="45"/>
  <c r="B52" i="45"/>
  <c r="B53" i="45"/>
  <c r="B54" i="45"/>
  <c r="B55" i="45"/>
  <c r="B56" i="45"/>
  <c r="B57" i="45"/>
  <c r="B58" i="45"/>
  <c r="B59" i="45"/>
  <c r="B60" i="45"/>
  <c r="B61" i="45"/>
  <c r="B62" i="45"/>
  <c r="B63" i="45"/>
  <c r="B64" i="45"/>
  <c r="B65" i="45"/>
  <c r="B73" i="44"/>
  <c r="B74" i="44"/>
  <c r="B75" i="44"/>
  <c r="B76" i="44"/>
  <c r="B77" i="44"/>
  <c r="B78" i="44"/>
  <c r="B79" i="44"/>
  <c r="B80" i="44"/>
  <c r="B81" i="44"/>
  <c r="B82" i="44"/>
  <c r="B83" i="44"/>
  <c r="B84" i="44"/>
  <c r="B85" i="44"/>
  <c r="B86" i="44"/>
  <c r="B42" i="44"/>
  <c r="B43" i="44"/>
  <c r="B44" i="44"/>
  <c r="B45" i="44"/>
  <c r="B46" i="44"/>
  <c r="B47" i="44"/>
  <c r="B48" i="44"/>
  <c r="B49" i="44"/>
  <c r="B50" i="44"/>
  <c r="B51" i="44"/>
  <c r="B52" i="44"/>
  <c r="B53" i="44"/>
  <c r="B54" i="44"/>
  <c r="B55" i="44"/>
  <c r="B56" i="44"/>
  <c r="B57" i="44"/>
  <c r="B58" i="44"/>
  <c r="B59" i="44"/>
  <c r="B60" i="44"/>
  <c r="B61" i="44"/>
  <c r="B62" i="44"/>
  <c r="B63" i="44"/>
  <c r="B64" i="44"/>
  <c r="B65" i="44"/>
  <c r="B73" i="43"/>
  <c r="B74" i="43"/>
  <c r="B75" i="43"/>
  <c r="B76" i="43"/>
  <c r="B77" i="43"/>
  <c r="B78" i="43"/>
  <c r="B79" i="43"/>
  <c r="B80" i="43"/>
  <c r="B81" i="43"/>
  <c r="B82" i="43"/>
  <c r="B83" i="43"/>
  <c r="B84" i="43"/>
  <c r="B85" i="43"/>
  <c r="B86" i="43"/>
  <c r="B42" i="43"/>
  <c r="B43" i="43"/>
  <c r="B44" i="43"/>
  <c r="B45" i="43"/>
  <c r="B46" i="43"/>
  <c r="B47" i="43"/>
  <c r="B48" i="43"/>
  <c r="B49" i="43"/>
  <c r="B50" i="43"/>
  <c r="B51" i="43"/>
  <c r="B52" i="43"/>
  <c r="B53" i="43"/>
  <c r="B54" i="43"/>
  <c r="B55" i="43"/>
  <c r="B56" i="43"/>
  <c r="B57" i="43"/>
  <c r="B58" i="43"/>
  <c r="B59" i="43"/>
  <c r="B60" i="43"/>
  <c r="B61" i="43"/>
  <c r="B62" i="43"/>
  <c r="B63" i="43"/>
  <c r="B64" i="43"/>
  <c r="B65" i="43"/>
  <c r="B73" i="1"/>
  <c r="B74" i="1"/>
  <c r="B75" i="1"/>
  <c r="B76" i="1"/>
  <c r="B77" i="1"/>
  <c r="B78" i="1"/>
  <c r="B79" i="1"/>
  <c r="B80" i="1"/>
  <c r="B81" i="1"/>
  <c r="B82" i="1"/>
  <c r="B83" i="1"/>
  <c r="B84" i="1"/>
  <c r="B85" i="1"/>
  <c r="B86" i="1"/>
  <c r="B72" i="1"/>
  <c r="B72" i="44"/>
  <c r="B72" i="45"/>
  <c r="B72" i="47"/>
  <c r="B72" i="48"/>
  <c r="B72" i="49"/>
  <c r="B72" i="50"/>
  <c r="B72" i="51"/>
  <c r="B72" i="46"/>
  <c r="B72" i="43"/>
  <c r="B41" i="44"/>
  <c r="B41" i="45"/>
  <c r="B41" i="47"/>
  <c r="B41" i="48"/>
  <c r="B41" i="49"/>
  <c r="B41" i="50"/>
  <c r="B41" i="51"/>
  <c r="B41" i="46"/>
  <c r="B41" i="43"/>
  <c r="B42" i="1"/>
  <c r="B43" i="1"/>
  <c r="B44" i="1"/>
  <c r="B45" i="1"/>
  <c r="B46" i="1"/>
  <c r="B47" i="1"/>
  <c r="B48" i="1"/>
  <c r="B49" i="1"/>
  <c r="B50" i="1"/>
  <c r="B51" i="1"/>
  <c r="B52" i="1"/>
  <c r="B53" i="1"/>
  <c r="B54" i="1"/>
  <c r="B55" i="1"/>
  <c r="B56" i="1"/>
  <c r="B57" i="1"/>
  <c r="B58" i="1"/>
  <c r="B59" i="1"/>
  <c r="B60" i="1"/>
  <c r="B61" i="1"/>
  <c r="B62" i="1"/>
  <c r="B63" i="1"/>
  <c r="B64" i="1"/>
  <c r="B65" i="1"/>
  <c r="B41" i="1"/>
  <c r="H87" i="46" l="1"/>
  <c r="J88" i="46" s="1"/>
  <c r="H87" i="51"/>
  <c r="J88" i="51" s="1"/>
  <c r="H87" i="50"/>
  <c r="J88" i="50" s="1"/>
  <c r="H87" i="49"/>
  <c r="J88" i="49" s="1"/>
  <c r="H87" i="48"/>
  <c r="J88" i="48" s="1"/>
  <c r="H87" i="47"/>
  <c r="J88" i="47" s="1"/>
  <c r="H87" i="45"/>
  <c r="J88" i="45" s="1"/>
  <c r="H87" i="44"/>
  <c r="J88" i="44" s="1"/>
  <c r="H87" i="43"/>
  <c r="J88" i="43" s="1"/>
  <c r="H66" i="46"/>
  <c r="J67" i="46" s="1"/>
  <c r="H66" i="51"/>
  <c r="J67" i="51" s="1"/>
  <c r="H66" i="50"/>
  <c r="J67" i="50" s="1"/>
  <c r="H66" i="49"/>
  <c r="J67" i="49" s="1"/>
  <c r="H66" i="48"/>
  <c r="J67" i="48" s="1"/>
  <c r="H66" i="47"/>
  <c r="J67" i="47" s="1"/>
  <c r="H66" i="45"/>
  <c r="J67" i="45" s="1"/>
  <c r="H66" i="44"/>
  <c r="J67" i="44" s="1"/>
  <c r="H66" i="43"/>
  <c r="J67" i="43" s="1"/>
  <c r="A73" i="43"/>
  <c r="A74" i="43"/>
  <c r="A75" i="43"/>
  <c r="A76" i="43"/>
  <c r="A77" i="43"/>
  <c r="A78" i="43"/>
  <c r="A79" i="43"/>
  <c r="A80" i="43"/>
  <c r="A81" i="43"/>
  <c r="A82" i="43"/>
  <c r="A83" i="43"/>
  <c r="A84" i="43"/>
  <c r="A85" i="43"/>
  <c r="A86" i="43"/>
  <c r="A72" i="43"/>
  <c r="A42" i="43"/>
  <c r="A43" i="43"/>
  <c r="A44" i="43"/>
  <c r="A45" i="43"/>
  <c r="A46" i="43"/>
  <c r="A47" i="43"/>
  <c r="A48" i="43"/>
  <c r="A49" i="43"/>
  <c r="A50" i="43"/>
  <c r="A51" i="43"/>
  <c r="A52" i="43"/>
  <c r="A53" i="43"/>
  <c r="A54" i="43"/>
  <c r="A55" i="43"/>
  <c r="A56" i="43"/>
  <c r="A57" i="43"/>
  <c r="A58" i="43"/>
  <c r="A59" i="43"/>
  <c r="A60" i="43"/>
  <c r="A61" i="43"/>
  <c r="A62" i="43"/>
  <c r="A63" i="43"/>
  <c r="A64" i="43"/>
  <c r="A65" i="43"/>
  <c r="A73" i="44"/>
  <c r="A74" i="44"/>
  <c r="A75" i="44"/>
  <c r="A76" i="44"/>
  <c r="A77" i="44"/>
  <c r="A78" i="44"/>
  <c r="A79" i="44"/>
  <c r="A80" i="44"/>
  <c r="A81" i="44"/>
  <c r="A82" i="44"/>
  <c r="A83" i="44"/>
  <c r="A84" i="44"/>
  <c r="A85" i="44"/>
  <c r="A86" i="44"/>
  <c r="A72" i="44"/>
  <c r="A42" i="44"/>
  <c r="A43" i="44"/>
  <c r="A44" i="44"/>
  <c r="A45" i="44"/>
  <c r="A46" i="44"/>
  <c r="A47" i="44"/>
  <c r="A48" i="44"/>
  <c r="A49" i="44"/>
  <c r="A50" i="44"/>
  <c r="A51" i="44"/>
  <c r="A52" i="44"/>
  <c r="A53" i="44"/>
  <c r="A54" i="44"/>
  <c r="A55" i="44"/>
  <c r="A56" i="44"/>
  <c r="A57" i="44"/>
  <c r="A58" i="44"/>
  <c r="A59" i="44"/>
  <c r="A60" i="44"/>
  <c r="A61" i="44"/>
  <c r="A62" i="44"/>
  <c r="A63" i="44"/>
  <c r="A64" i="44"/>
  <c r="A65" i="44"/>
  <c r="A73" i="45"/>
  <c r="A74" i="45"/>
  <c r="A75" i="45"/>
  <c r="A76" i="45"/>
  <c r="A77" i="45"/>
  <c r="A78" i="45"/>
  <c r="A79" i="45"/>
  <c r="A80" i="45"/>
  <c r="A81" i="45"/>
  <c r="A82" i="45"/>
  <c r="A83" i="45"/>
  <c r="A84" i="45"/>
  <c r="A85" i="45"/>
  <c r="A86" i="45"/>
  <c r="A72" i="45"/>
  <c r="A42" i="45"/>
  <c r="A43" i="45"/>
  <c r="A44" i="45"/>
  <c r="A45" i="45"/>
  <c r="A46" i="45"/>
  <c r="A47" i="45"/>
  <c r="A48" i="45"/>
  <c r="A49" i="45"/>
  <c r="A50" i="45"/>
  <c r="A51" i="45"/>
  <c r="A52" i="45"/>
  <c r="A53" i="45"/>
  <c r="A54" i="45"/>
  <c r="A55" i="45"/>
  <c r="A56" i="45"/>
  <c r="A57" i="45"/>
  <c r="A58" i="45"/>
  <c r="A59" i="45"/>
  <c r="A60" i="45"/>
  <c r="A61" i="45"/>
  <c r="A62" i="45"/>
  <c r="A63" i="45"/>
  <c r="A64" i="45"/>
  <c r="A65" i="45"/>
  <c r="A73" i="47"/>
  <c r="A74" i="47"/>
  <c r="A75" i="47"/>
  <c r="A76" i="47"/>
  <c r="A77" i="47"/>
  <c r="A78" i="47"/>
  <c r="A79" i="47"/>
  <c r="A80" i="47"/>
  <c r="A81" i="47"/>
  <c r="A82" i="47"/>
  <c r="A83" i="47"/>
  <c r="A84" i="47"/>
  <c r="A85" i="47"/>
  <c r="A86" i="47"/>
  <c r="A72" i="47"/>
  <c r="A42" i="47"/>
  <c r="A43" i="47"/>
  <c r="A44" i="47"/>
  <c r="A45" i="47"/>
  <c r="A46" i="47"/>
  <c r="A47" i="47"/>
  <c r="A48" i="47"/>
  <c r="A49" i="47"/>
  <c r="A50" i="47"/>
  <c r="A51" i="47"/>
  <c r="A52" i="47"/>
  <c r="A53" i="47"/>
  <c r="A54" i="47"/>
  <c r="A55" i="47"/>
  <c r="A56" i="47"/>
  <c r="A57" i="47"/>
  <c r="A58" i="47"/>
  <c r="A59" i="47"/>
  <c r="A60" i="47"/>
  <c r="A61" i="47"/>
  <c r="A62" i="47"/>
  <c r="A63" i="47"/>
  <c r="A64" i="47"/>
  <c r="A65" i="47"/>
  <c r="A73" i="48"/>
  <c r="A74" i="48"/>
  <c r="A75" i="48"/>
  <c r="A76" i="48"/>
  <c r="A77" i="48"/>
  <c r="A78" i="48"/>
  <c r="A79" i="48"/>
  <c r="A80" i="48"/>
  <c r="A81" i="48"/>
  <c r="A82" i="48"/>
  <c r="A83" i="48"/>
  <c r="A84" i="48"/>
  <c r="A85" i="48"/>
  <c r="A86" i="48"/>
  <c r="A72" i="48"/>
  <c r="A42" i="48"/>
  <c r="A43" i="48"/>
  <c r="A44" i="48"/>
  <c r="A45" i="48"/>
  <c r="A46" i="48"/>
  <c r="A47" i="48"/>
  <c r="A48" i="48"/>
  <c r="A49" i="48"/>
  <c r="A50" i="48"/>
  <c r="A51" i="48"/>
  <c r="A52" i="48"/>
  <c r="A53" i="48"/>
  <c r="A54" i="48"/>
  <c r="A55" i="48"/>
  <c r="A56" i="48"/>
  <c r="A57" i="48"/>
  <c r="A58" i="48"/>
  <c r="A59" i="48"/>
  <c r="A60" i="48"/>
  <c r="A61" i="48"/>
  <c r="A62" i="48"/>
  <c r="A63" i="48"/>
  <c r="A64" i="48"/>
  <c r="A65" i="48"/>
  <c r="A73" i="49"/>
  <c r="A74" i="49"/>
  <c r="A75" i="49"/>
  <c r="A76" i="49"/>
  <c r="A77" i="49"/>
  <c r="A78" i="49"/>
  <c r="A79" i="49"/>
  <c r="A80" i="49"/>
  <c r="A81" i="49"/>
  <c r="A82" i="49"/>
  <c r="A83" i="49"/>
  <c r="A84" i="49"/>
  <c r="A85" i="49"/>
  <c r="A86" i="49"/>
  <c r="A72" i="49"/>
  <c r="A42" i="49"/>
  <c r="A43" i="49"/>
  <c r="A44" i="49"/>
  <c r="A45" i="49"/>
  <c r="A46" i="49"/>
  <c r="A47" i="49"/>
  <c r="A48" i="49"/>
  <c r="A49" i="49"/>
  <c r="A50" i="49"/>
  <c r="A51" i="49"/>
  <c r="A52" i="49"/>
  <c r="A53" i="49"/>
  <c r="A54" i="49"/>
  <c r="A55" i="49"/>
  <c r="A56" i="49"/>
  <c r="A57" i="49"/>
  <c r="A58" i="49"/>
  <c r="A59" i="49"/>
  <c r="A60" i="49"/>
  <c r="A61" i="49"/>
  <c r="A62" i="49"/>
  <c r="A63" i="49"/>
  <c r="A64" i="49"/>
  <c r="A65" i="49"/>
  <c r="A73" i="50"/>
  <c r="A74" i="50"/>
  <c r="A75" i="50"/>
  <c r="A76" i="50"/>
  <c r="A77" i="50"/>
  <c r="A78" i="50"/>
  <c r="A79" i="50"/>
  <c r="A80" i="50"/>
  <c r="A81" i="50"/>
  <c r="A82" i="50"/>
  <c r="A83" i="50"/>
  <c r="A84" i="50"/>
  <c r="A85" i="50"/>
  <c r="A86" i="50"/>
  <c r="A72" i="50"/>
  <c r="A42" i="50"/>
  <c r="A43" i="50"/>
  <c r="A44" i="50"/>
  <c r="A45" i="50"/>
  <c r="A46" i="50"/>
  <c r="A47" i="50"/>
  <c r="A48" i="50"/>
  <c r="A49" i="50"/>
  <c r="A50" i="50"/>
  <c r="A51" i="50"/>
  <c r="A52" i="50"/>
  <c r="A53" i="50"/>
  <c r="A54" i="50"/>
  <c r="A55" i="50"/>
  <c r="A56" i="50"/>
  <c r="A57" i="50"/>
  <c r="A58" i="50"/>
  <c r="A59" i="50"/>
  <c r="A60" i="50"/>
  <c r="A61" i="50"/>
  <c r="A62" i="50"/>
  <c r="A63" i="50"/>
  <c r="A64" i="50"/>
  <c r="A65" i="50"/>
  <c r="A73" i="51"/>
  <c r="A74" i="51"/>
  <c r="A75" i="51"/>
  <c r="A76" i="51"/>
  <c r="A77" i="51"/>
  <c r="A78" i="51"/>
  <c r="A79" i="51"/>
  <c r="A80" i="51"/>
  <c r="A81" i="51"/>
  <c r="A82" i="51"/>
  <c r="A83" i="51"/>
  <c r="A84" i="51"/>
  <c r="A85" i="51"/>
  <c r="A86" i="51"/>
  <c r="A72" i="51"/>
  <c r="A42" i="51"/>
  <c r="A43" i="51"/>
  <c r="A44" i="51"/>
  <c r="A45" i="51"/>
  <c r="A46" i="51"/>
  <c r="A47" i="51"/>
  <c r="A48" i="51"/>
  <c r="A49" i="51"/>
  <c r="A50" i="51"/>
  <c r="A51" i="51"/>
  <c r="A52" i="51"/>
  <c r="A53" i="51"/>
  <c r="A54" i="51"/>
  <c r="A55" i="51"/>
  <c r="A56" i="51"/>
  <c r="A57" i="51"/>
  <c r="A58" i="51"/>
  <c r="A59" i="51"/>
  <c r="A60" i="51"/>
  <c r="A61" i="51"/>
  <c r="A62" i="51"/>
  <c r="A63" i="51"/>
  <c r="A64" i="51"/>
  <c r="A65" i="51"/>
  <c r="A73" i="46"/>
  <c r="A74" i="46"/>
  <c r="A75" i="46"/>
  <c r="A76" i="46"/>
  <c r="A77" i="46"/>
  <c r="A78" i="46"/>
  <c r="A79" i="46"/>
  <c r="A80" i="46"/>
  <c r="A81" i="46"/>
  <c r="A82" i="46"/>
  <c r="A83" i="46"/>
  <c r="A84" i="46"/>
  <c r="A85" i="46"/>
  <c r="A86" i="46"/>
  <c r="A72" i="46"/>
  <c r="A42" i="46"/>
  <c r="A43" i="46"/>
  <c r="A44" i="46"/>
  <c r="A45" i="46"/>
  <c r="A46" i="46"/>
  <c r="A47" i="46"/>
  <c r="A48" i="46"/>
  <c r="A49" i="46"/>
  <c r="A50" i="46"/>
  <c r="A51" i="46"/>
  <c r="A52" i="46"/>
  <c r="A53" i="46"/>
  <c r="A54" i="46"/>
  <c r="A55" i="46"/>
  <c r="A56" i="46"/>
  <c r="A57" i="46"/>
  <c r="A58" i="46"/>
  <c r="A59" i="46"/>
  <c r="A60" i="46"/>
  <c r="A61" i="46"/>
  <c r="A62" i="46"/>
  <c r="A63" i="46"/>
  <c r="A64" i="46"/>
  <c r="A65" i="46"/>
  <c r="A41" i="46"/>
  <c r="A41" i="51"/>
  <c r="A41" i="50"/>
  <c r="A41" i="49"/>
  <c r="A41" i="48"/>
  <c r="A41" i="47"/>
  <c r="A41" i="45"/>
  <c r="A41" i="44"/>
  <c r="A41" i="43"/>
  <c r="A74" i="1" l="1"/>
  <c r="A75" i="1"/>
  <c r="A77" i="1"/>
  <c r="A78" i="1"/>
  <c r="A82" i="1"/>
  <c r="A85" i="1"/>
  <c r="A86" i="1"/>
  <c r="A73" i="1"/>
  <c r="A76" i="1"/>
  <c r="A79" i="1"/>
  <c r="A80" i="1"/>
  <c r="A81" i="1"/>
  <c r="A83" i="1"/>
  <c r="A84" i="1"/>
  <c r="A72" i="1"/>
  <c r="A42" i="1"/>
  <c r="A43" i="1"/>
  <c r="A44" i="1"/>
  <c r="A45" i="1"/>
  <c r="A46" i="1"/>
  <c r="A47" i="1"/>
  <c r="A48" i="1"/>
  <c r="A49" i="1"/>
  <c r="A50" i="1"/>
  <c r="A51" i="1"/>
  <c r="A52" i="1"/>
  <c r="A53" i="1"/>
  <c r="A54" i="1"/>
  <c r="A55" i="1"/>
  <c r="A56" i="1"/>
  <c r="A57" i="1"/>
  <c r="A58" i="1"/>
  <c r="A59" i="1"/>
  <c r="A60" i="1"/>
  <c r="A61" i="1"/>
  <c r="A62" i="1"/>
  <c r="A63" i="1"/>
  <c r="A64" i="1"/>
  <c r="A65" i="1"/>
  <c r="A41" i="1"/>
  <c r="A87" i="1" l="1"/>
  <c r="A66" i="1"/>
  <c r="J68" i="1" s="1"/>
  <c r="D21" i="46"/>
  <c r="J20" i="46" s="1"/>
  <c r="D20" i="46"/>
  <c r="D21" i="51"/>
  <c r="J20" i="51" s="1"/>
  <c r="D20" i="51"/>
  <c r="D21" i="50"/>
  <c r="J20" i="50" s="1"/>
  <c r="D20" i="50"/>
  <c r="D21" i="49"/>
  <c r="J20" i="49" s="1"/>
  <c r="D20" i="49"/>
  <c r="D21" i="48"/>
  <c r="J20" i="48" s="1"/>
  <c r="D20" i="48"/>
  <c r="D21" i="47"/>
  <c r="J20" i="47" s="1"/>
  <c r="D20" i="47"/>
  <c r="D21" i="45"/>
  <c r="J20" i="45" s="1"/>
  <c r="D20" i="45"/>
  <c r="D21" i="44"/>
  <c r="J20" i="44" s="1"/>
  <c r="D20" i="44"/>
  <c r="D20" i="43"/>
  <c r="D21" i="43" s="1"/>
  <c r="J20" i="43" s="1"/>
  <c r="C31" i="54" l="1"/>
  <c r="C28" i="54"/>
  <c r="C33" i="54" s="1"/>
  <c r="D27" i="54"/>
  <c r="D26" i="54"/>
  <c r="C26" i="54"/>
  <c r="D23" i="54"/>
  <c r="C23" i="54"/>
  <c r="E15" i="54"/>
  <c r="E14" i="54"/>
  <c r="G5" i="54"/>
  <c r="H5" i="54" s="1"/>
  <c r="F5" i="54"/>
  <c r="G4" i="54"/>
  <c r="H4" i="54" s="1"/>
  <c r="F4" i="54"/>
  <c r="E111" i="42"/>
  <c r="E112" i="42" s="1"/>
  <c r="D111" i="42"/>
  <c r="D112" i="42" s="1"/>
  <c r="D122" i="42" s="1"/>
  <c r="C111" i="42"/>
  <c r="C112" i="42" s="1"/>
  <c r="E107" i="42"/>
  <c r="E108" i="42" s="1"/>
  <c r="D107" i="42"/>
  <c r="D108" i="42" s="1"/>
  <c r="D98" i="42" s="1"/>
  <c r="C107" i="42"/>
  <c r="C108" i="42" s="1"/>
  <c r="E103" i="42"/>
  <c r="D103" i="42"/>
  <c r="C103" i="42"/>
  <c r="E102" i="42"/>
  <c r="E104" i="42" s="1"/>
  <c r="D102" i="42"/>
  <c r="D104" i="42" s="1"/>
  <c r="C102" i="42"/>
  <c r="E94" i="42"/>
  <c r="D94" i="42"/>
  <c r="C94" i="42"/>
  <c r="D63" i="42"/>
  <c r="D62" i="42"/>
  <c r="D60" i="42"/>
  <c r="I53" i="42"/>
  <c r="H53" i="42"/>
  <c r="N50" i="42"/>
  <c r="L42" i="42"/>
  <c r="M42" i="42" s="1"/>
  <c r="K42" i="42"/>
  <c r="B42" i="42"/>
  <c r="B46" i="42" s="1"/>
  <c r="B48" i="42" s="1"/>
  <c r="B50" i="42" s="1"/>
  <c r="B52" i="42" s="1"/>
  <c r="B54" i="42" s="1"/>
  <c r="F33" i="42"/>
  <c r="F28" i="42"/>
  <c r="E28" i="42"/>
  <c r="D23" i="42"/>
  <c r="R21" i="42"/>
  <c r="S21" i="42" s="1"/>
  <c r="C20" i="42"/>
  <c r="M18" i="42"/>
  <c r="K18" i="42"/>
  <c r="M22" i="42" s="1"/>
  <c r="R17" i="42"/>
  <c r="S17" i="42" s="1"/>
  <c r="T17" i="42" s="1"/>
  <c r="C17" i="42"/>
  <c r="L11" i="42"/>
  <c r="M11" i="42" s="1"/>
  <c r="M10" i="42"/>
  <c r="N10" i="42" s="1"/>
  <c r="C10" i="42"/>
  <c r="M9" i="42"/>
  <c r="N9" i="42" s="1"/>
  <c r="M8" i="42"/>
  <c r="I5" i="42"/>
  <c r="C5" i="42"/>
  <c r="L97" i="46"/>
  <c r="L95" i="46"/>
  <c r="L94" i="46"/>
  <c r="L86" i="46"/>
  <c r="J86" i="46"/>
  <c r="I86" i="46"/>
  <c r="K86" i="46" s="1"/>
  <c r="L85" i="46"/>
  <c r="J85" i="46"/>
  <c r="I85" i="46"/>
  <c r="K85" i="46" s="1"/>
  <c r="L84" i="46"/>
  <c r="J84" i="46"/>
  <c r="I84" i="46"/>
  <c r="K84" i="46" s="1"/>
  <c r="L83" i="46"/>
  <c r="J83" i="46"/>
  <c r="I83" i="46"/>
  <c r="K83" i="46" s="1"/>
  <c r="L82" i="46"/>
  <c r="J82" i="46"/>
  <c r="I82" i="46"/>
  <c r="K82" i="46" s="1"/>
  <c r="L81" i="46"/>
  <c r="J81" i="46"/>
  <c r="I81" i="46"/>
  <c r="K81" i="46" s="1"/>
  <c r="L80" i="46"/>
  <c r="J80" i="46"/>
  <c r="I80" i="46"/>
  <c r="K80" i="46" s="1"/>
  <c r="L79" i="46"/>
  <c r="J79" i="46"/>
  <c r="I79" i="46"/>
  <c r="K79" i="46" s="1"/>
  <c r="L78" i="46"/>
  <c r="J78" i="46"/>
  <c r="I78" i="46"/>
  <c r="K78" i="46" s="1"/>
  <c r="L77" i="46"/>
  <c r="J77" i="46"/>
  <c r="I77" i="46"/>
  <c r="K77" i="46" s="1"/>
  <c r="L76" i="46"/>
  <c r="J76" i="46"/>
  <c r="I76" i="46"/>
  <c r="K76" i="46" s="1"/>
  <c r="L75" i="46"/>
  <c r="J75" i="46"/>
  <c r="I75" i="46"/>
  <c r="K75" i="46" s="1"/>
  <c r="L74" i="46"/>
  <c r="J74" i="46"/>
  <c r="I74" i="46"/>
  <c r="K74" i="46" s="1"/>
  <c r="L73" i="46"/>
  <c r="J73" i="46"/>
  <c r="I73" i="46"/>
  <c r="K73" i="46" s="1"/>
  <c r="L72" i="46"/>
  <c r="J72" i="46"/>
  <c r="I72" i="46"/>
  <c r="K72" i="46" s="1"/>
  <c r="L65" i="46"/>
  <c r="J65" i="46"/>
  <c r="I65" i="46"/>
  <c r="K65" i="46" s="1"/>
  <c r="L64" i="46"/>
  <c r="J64" i="46"/>
  <c r="I64" i="46"/>
  <c r="K64" i="46" s="1"/>
  <c r="L63" i="46"/>
  <c r="J63" i="46"/>
  <c r="I63" i="46"/>
  <c r="K63" i="46" s="1"/>
  <c r="L62" i="46"/>
  <c r="J62" i="46"/>
  <c r="I62" i="46"/>
  <c r="K62" i="46" s="1"/>
  <c r="L61" i="46"/>
  <c r="J61" i="46"/>
  <c r="I61" i="46"/>
  <c r="K61" i="46" s="1"/>
  <c r="L60" i="46"/>
  <c r="J60" i="46"/>
  <c r="I60" i="46"/>
  <c r="K60" i="46" s="1"/>
  <c r="L59" i="46"/>
  <c r="J59" i="46"/>
  <c r="I59" i="46"/>
  <c r="K59" i="46" s="1"/>
  <c r="L58" i="46"/>
  <c r="J58" i="46"/>
  <c r="I58" i="46"/>
  <c r="K58" i="46" s="1"/>
  <c r="L57" i="46"/>
  <c r="J57" i="46"/>
  <c r="I57" i="46"/>
  <c r="K57" i="46" s="1"/>
  <c r="L56" i="46"/>
  <c r="J56" i="46"/>
  <c r="I56" i="46"/>
  <c r="K56" i="46" s="1"/>
  <c r="X55" i="46"/>
  <c r="L55" i="46"/>
  <c r="J55" i="46"/>
  <c r="I55" i="46"/>
  <c r="K55" i="46" s="1"/>
  <c r="X54" i="46"/>
  <c r="L54" i="46"/>
  <c r="J54" i="46"/>
  <c r="I54" i="46"/>
  <c r="K54" i="46" s="1"/>
  <c r="L53" i="46"/>
  <c r="J53" i="46"/>
  <c r="I53" i="46"/>
  <c r="K53" i="46" s="1"/>
  <c r="L52" i="46"/>
  <c r="J52" i="46"/>
  <c r="I52" i="46"/>
  <c r="K52" i="46" s="1"/>
  <c r="L51" i="46"/>
  <c r="J51" i="46"/>
  <c r="I51" i="46"/>
  <c r="K51" i="46" s="1"/>
  <c r="L50" i="46"/>
  <c r="J50" i="46"/>
  <c r="I50" i="46"/>
  <c r="K50" i="46" s="1"/>
  <c r="L49" i="46"/>
  <c r="J49" i="46"/>
  <c r="I49" i="46"/>
  <c r="K49" i="46" s="1"/>
  <c r="L48" i="46"/>
  <c r="J48" i="46"/>
  <c r="I48" i="46"/>
  <c r="K48" i="46" s="1"/>
  <c r="L47" i="46"/>
  <c r="J47" i="46"/>
  <c r="I47" i="46"/>
  <c r="K47" i="46" s="1"/>
  <c r="L46" i="46"/>
  <c r="J46" i="46"/>
  <c r="I46" i="46"/>
  <c r="K46" i="46" s="1"/>
  <c r="L45" i="46"/>
  <c r="J45" i="46"/>
  <c r="I45" i="46"/>
  <c r="K45" i="46" s="1"/>
  <c r="L44" i="46"/>
  <c r="J44" i="46"/>
  <c r="I44" i="46"/>
  <c r="K44" i="46" s="1"/>
  <c r="W43" i="46"/>
  <c r="X43" i="46" s="1"/>
  <c r="R43" i="46"/>
  <c r="L43" i="46"/>
  <c r="J43" i="46"/>
  <c r="I43" i="46"/>
  <c r="K43" i="46" s="1"/>
  <c r="R42" i="46"/>
  <c r="L42" i="46"/>
  <c r="J42" i="46"/>
  <c r="I42" i="46"/>
  <c r="K42" i="46" s="1"/>
  <c r="L41" i="46"/>
  <c r="J41" i="46"/>
  <c r="I41" i="46"/>
  <c r="K41" i="46" s="1"/>
  <c r="I36" i="46"/>
  <c r="I34" i="46"/>
  <c r="K31" i="46"/>
  <c r="G30" i="46"/>
  <c r="F27" i="46"/>
  <c r="J24" i="46"/>
  <c r="X22" i="23" s="1"/>
  <c r="F24" i="46"/>
  <c r="J23" i="46"/>
  <c r="L23" i="46" s="1"/>
  <c r="W22" i="23" s="1"/>
  <c r="J22" i="46"/>
  <c r="T22" i="23" s="1"/>
  <c r="J21" i="46"/>
  <c r="W47" i="46" s="1"/>
  <c r="X47" i="46" s="1"/>
  <c r="W42" i="46"/>
  <c r="X42" i="46" s="1"/>
  <c r="G20" i="46"/>
  <c r="F19" i="46" s="1"/>
  <c r="G19" i="46" s="1"/>
  <c r="J19" i="46"/>
  <c r="N22" i="23" s="1"/>
  <c r="F17" i="46"/>
  <c r="G17" i="46" s="1"/>
  <c r="L16" i="46"/>
  <c r="X39" i="23" s="1"/>
  <c r="H14" i="46"/>
  <c r="L13" i="46"/>
  <c r="E13" i="46"/>
  <c r="F13" i="46" s="1"/>
  <c r="H9" i="46"/>
  <c r="C9" i="46"/>
  <c r="K8" i="46"/>
  <c r="H8" i="46"/>
  <c r="C8" i="46"/>
  <c r="K7" i="46"/>
  <c r="H7" i="46"/>
  <c r="C7" i="46"/>
  <c r="J6" i="46"/>
  <c r="H6" i="46"/>
  <c r="C6" i="46"/>
  <c r="L97" i="51"/>
  <c r="L95" i="51"/>
  <c r="L94" i="51"/>
  <c r="L86" i="51"/>
  <c r="J86" i="51"/>
  <c r="I86" i="51"/>
  <c r="K86" i="51" s="1"/>
  <c r="L85" i="51"/>
  <c r="J85" i="51"/>
  <c r="I85" i="51"/>
  <c r="K85" i="51" s="1"/>
  <c r="L84" i="51"/>
  <c r="J84" i="51"/>
  <c r="I84" i="51"/>
  <c r="K84" i="51" s="1"/>
  <c r="L83" i="51"/>
  <c r="J83" i="51"/>
  <c r="I83" i="51"/>
  <c r="K83" i="51" s="1"/>
  <c r="L82" i="51"/>
  <c r="J82" i="51"/>
  <c r="I82" i="51"/>
  <c r="K82" i="51" s="1"/>
  <c r="L81" i="51"/>
  <c r="J81" i="51"/>
  <c r="I81" i="51"/>
  <c r="K81" i="51" s="1"/>
  <c r="L80" i="51"/>
  <c r="J80" i="51"/>
  <c r="I80" i="51"/>
  <c r="K80" i="51" s="1"/>
  <c r="L79" i="51"/>
  <c r="J79" i="51"/>
  <c r="I79" i="51"/>
  <c r="K79" i="51" s="1"/>
  <c r="L78" i="51"/>
  <c r="J78" i="51"/>
  <c r="I78" i="51"/>
  <c r="K78" i="51" s="1"/>
  <c r="L77" i="51"/>
  <c r="J77" i="51"/>
  <c r="I77" i="51"/>
  <c r="K77" i="51" s="1"/>
  <c r="L76" i="51"/>
  <c r="J76" i="51"/>
  <c r="I76" i="51"/>
  <c r="K76" i="51" s="1"/>
  <c r="L75" i="51"/>
  <c r="J75" i="51"/>
  <c r="I75" i="51"/>
  <c r="K75" i="51" s="1"/>
  <c r="L74" i="51"/>
  <c r="J74" i="51"/>
  <c r="I74" i="51"/>
  <c r="K74" i="51" s="1"/>
  <c r="L73" i="51"/>
  <c r="J73" i="51"/>
  <c r="I73" i="51"/>
  <c r="K73" i="51" s="1"/>
  <c r="L72" i="51"/>
  <c r="J72" i="51"/>
  <c r="I72" i="51"/>
  <c r="K72" i="51" s="1"/>
  <c r="L65" i="51"/>
  <c r="J65" i="51"/>
  <c r="I65" i="51"/>
  <c r="K65" i="51" s="1"/>
  <c r="L64" i="51"/>
  <c r="J64" i="51"/>
  <c r="I64" i="51"/>
  <c r="K64" i="51" s="1"/>
  <c r="L63" i="51"/>
  <c r="J63" i="51"/>
  <c r="I63" i="51"/>
  <c r="K63" i="51" s="1"/>
  <c r="L62" i="51"/>
  <c r="J62" i="51"/>
  <c r="I62" i="51"/>
  <c r="K62" i="51" s="1"/>
  <c r="L61" i="51"/>
  <c r="J61" i="51"/>
  <c r="I61" i="51"/>
  <c r="K61" i="51" s="1"/>
  <c r="L60" i="51"/>
  <c r="J60" i="51"/>
  <c r="I60" i="51"/>
  <c r="K60" i="51" s="1"/>
  <c r="L59" i="51"/>
  <c r="J59" i="51"/>
  <c r="I59" i="51"/>
  <c r="K59" i="51" s="1"/>
  <c r="L58" i="51"/>
  <c r="J58" i="51"/>
  <c r="I58" i="51"/>
  <c r="K58" i="51" s="1"/>
  <c r="L57" i="51"/>
  <c r="J57" i="51"/>
  <c r="I57" i="51"/>
  <c r="K57" i="51" s="1"/>
  <c r="L56" i="51"/>
  <c r="J56" i="51"/>
  <c r="I56" i="51"/>
  <c r="K56" i="51" s="1"/>
  <c r="X55" i="51"/>
  <c r="L55" i="51"/>
  <c r="J55" i="51"/>
  <c r="I55" i="51"/>
  <c r="K55" i="51" s="1"/>
  <c r="X54" i="51"/>
  <c r="L54" i="51"/>
  <c r="J54" i="51"/>
  <c r="I54" i="51"/>
  <c r="K54" i="51" s="1"/>
  <c r="L53" i="51"/>
  <c r="J53" i="51"/>
  <c r="I53" i="51"/>
  <c r="K53" i="51" s="1"/>
  <c r="L52" i="51"/>
  <c r="J52" i="51"/>
  <c r="I52" i="51"/>
  <c r="K52" i="51" s="1"/>
  <c r="L51" i="51"/>
  <c r="J51" i="51"/>
  <c r="I51" i="51"/>
  <c r="K51" i="51" s="1"/>
  <c r="L50" i="51"/>
  <c r="J50" i="51"/>
  <c r="I50" i="51"/>
  <c r="K50" i="51" s="1"/>
  <c r="L49" i="51"/>
  <c r="J49" i="51"/>
  <c r="I49" i="51"/>
  <c r="K49" i="51" s="1"/>
  <c r="L48" i="51"/>
  <c r="J48" i="51"/>
  <c r="I48" i="51"/>
  <c r="K48" i="51" s="1"/>
  <c r="L47" i="51"/>
  <c r="J47" i="51"/>
  <c r="I47" i="51"/>
  <c r="K47" i="51" s="1"/>
  <c r="L46" i="51"/>
  <c r="J46" i="51"/>
  <c r="I46" i="51"/>
  <c r="K46" i="51" s="1"/>
  <c r="L45" i="51"/>
  <c r="J45" i="51"/>
  <c r="I45" i="51"/>
  <c r="K45" i="51" s="1"/>
  <c r="L44" i="51"/>
  <c r="J44" i="51"/>
  <c r="I44" i="51"/>
  <c r="K44" i="51" s="1"/>
  <c r="R43" i="51"/>
  <c r="L43" i="51"/>
  <c r="J43" i="51"/>
  <c r="I43" i="51"/>
  <c r="K43" i="51" s="1"/>
  <c r="R42" i="51"/>
  <c r="L42" i="51"/>
  <c r="J42" i="51"/>
  <c r="I42" i="51"/>
  <c r="K42" i="51" s="1"/>
  <c r="L41" i="51"/>
  <c r="J41" i="51"/>
  <c r="I41" i="51"/>
  <c r="K41" i="51" s="1"/>
  <c r="I36" i="51"/>
  <c r="I34" i="51"/>
  <c r="K31" i="51"/>
  <c r="G30" i="51"/>
  <c r="F27" i="51"/>
  <c r="J24" i="51"/>
  <c r="X21" i="23" s="1"/>
  <c r="F24" i="51"/>
  <c r="J23" i="51"/>
  <c r="L23" i="51" s="1"/>
  <c r="W21" i="23" s="1"/>
  <c r="J22" i="51"/>
  <c r="I35" i="51" s="1"/>
  <c r="J21" i="51"/>
  <c r="R21" i="23" s="1"/>
  <c r="W52" i="51"/>
  <c r="X52" i="51" s="1"/>
  <c r="G20" i="51"/>
  <c r="F19" i="51" s="1"/>
  <c r="G19" i="51" s="1"/>
  <c r="J19" i="51"/>
  <c r="W37" i="51" s="1"/>
  <c r="X37" i="51" s="1"/>
  <c r="F17" i="51"/>
  <c r="G17" i="51" s="1"/>
  <c r="L16" i="51"/>
  <c r="X38" i="23" s="1"/>
  <c r="H14" i="51"/>
  <c r="L13" i="51"/>
  <c r="E13" i="51"/>
  <c r="F13" i="51" s="1"/>
  <c r="H9" i="51"/>
  <c r="C9" i="51"/>
  <c r="K8" i="51"/>
  <c r="H8" i="51"/>
  <c r="C8" i="51"/>
  <c r="K7" i="51"/>
  <c r="H7" i="51"/>
  <c r="C7" i="51"/>
  <c r="J6" i="51"/>
  <c r="H6" i="51"/>
  <c r="C6" i="51"/>
  <c r="L97" i="50"/>
  <c r="L95" i="50"/>
  <c r="L94" i="50"/>
  <c r="L86" i="50"/>
  <c r="J86" i="50"/>
  <c r="I86" i="50"/>
  <c r="K86" i="50" s="1"/>
  <c r="L85" i="50"/>
  <c r="J85" i="50"/>
  <c r="I85" i="50"/>
  <c r="K85" i="50" s="1"/>
  <c r="L84" i="50"/>
  <c r="J84" i="50"/>
  <c r="I84" i="50"/>
  <c r="K84" i="50" s="1"/>
  <c r="L83" i="50"/>
  <c r="J83" i="50"/>
  <c r="I83" i="50"/>
  <c r="K83" i="50" s="1"/>
  <c r="L82" i="50"/>
  <c r="J82" i="50"/>
  <c r="I82" i="50"/>
  <c r="K82" i="50" s="1"/>
  <c r="L81" i="50"/>
  <c r="J81" i="50"/>
  <c r="I81" i="50"/>
  <c r="K81" i="50" s="1"/>
  <c r="L80" i="50"/>
  <c r="J80" i="50"/>
  <c r="I80" i="50"/>
  <c r="K80" i="50" s="1"/>
  <c r="L79" i="50"/>
  <c r="J79" i="50"/>
  <c r="I79" i="50"/>
  <c r="K79" i="50" s="1"/>
  <c r="L78" i="50"/>
  <c r="J78" i="50"/>
  <c r="I78" i="50"/>
  <c r="K78" i="50" s="1"/>
  <c r="L77" i="50"/>
  <c r="J77" i="50"/>
  <c r="I77" i="50"/>
  <c r="K77" i="50" s="1"/>
  <c r="L76" i="50"/>
  <c r="J76" i="50"/>
  <c r="I76" i="50"/>
  <c r="K76" i="50" s="1"/>
  <c r="L75" i="50"/>
  <c r="J75" i="50"/>
  <c r="I75" i="50"/>
  <c r="K75" i="50" s="1"/>
  <c r="L74" i="50"/>
  <c r="J74" i="50"/>
  <c r="I74" i="50"/>
  <c r="K74" i="50" s="1"/>
  <c r="L73" i="50"/>
  <c r="J73" i="50"/>
  <c r="I73" i="50"/>
  <c r="K73" i="50" s="1"/>
  <c r="L72" i="50"/>
  <c r="J72" i="50"/>
  <c r="I72" i="50"/>
  <c r="K72" i="50" s="1"/>
  <c r="L65" i="50"/>
  <c r="J65" i="50"/>
  <c r="I65" i="50"/>
  <c r="K65" i="50" s="1"/>
  <c r="L64" i="50"/>
  <c r="J64" i="50"/>
  <c r="I64" i="50"/>
  <c r="K64" i="50" s="1"/>
  <c r="L63" i="50"/>
  <c r="J63" i="50"/>
  <c r="I63" i="50"/>
  <c r="K63" i="50" s="1"/>
  <c r="L62" i="50"/>
  <c r="J62" i="50"/>
  <c r="I62" i="50"/>
  <c r="K62" i="50" s="1"/>
  <c r="L61" i="50"/>
  <c r="J61" i="50"/>
  <c r="I61" i="50"/>
  <c r="K61" i="50" s="1"/>
  <c r="L60" i="50"/>
  <c r="J60" i="50"/>
  <c r="I60" i="50"/>
  <c r="K60" i="50" s="1"/>
  <c r="L59" i="50"/>
  <c r="J59" i="50"/>
  <c r="I59" i="50"/>
  <c r="K59" i="50" s="1"/>
  <c r="L58" i="50"/>
  <c r="J58" i="50"/>
  <c r="I58" i="50"/>
  <c r="K58" i="50" s="1"/>
  <c r="L57" i="50"/>
  <c r="J57" i="50"/>
  <c r="I57" i="50"/>
  <c r="K57" i="50" s="1"/>
  <c r="L56" i="50"/>
  <c r="J56" i="50"/>
  <c r="I56" i="50"/>
  <c r="K56" i="50" s="1"/>
  <c r="X55" i="50"/>
  <c r="L55" i="50"/>
  <c r="J55" i="50"/>
  <c r="I55" i="50"/>
  <c r="K55" i="50" s="1"/>
  <c r="X54" i="50"/>
  <c r="L54" i="50"/>
  <c r="J54" i="50"/>
  <c r="I54" i="50"/>
  <c r="K54" i="50" s="1"/>
  <c r="L53" i="50"/>
  <c r="J53" i="50"/>
  <c r="I53" i="50"/>
  <c r="K53" i="50" s="1"/>
  <c r="L52" i="50"/>
  <c r="J52" i="50"/>
  <c r="I52" i="50"/>
  <c r="K52" i="50" s="1"/>
  <c r="L51" i="50"/>
  <c r="J51" i="50"/>
  <c r="I51" i="50"/>
  <c r="K51" i="50" s="1"/>
  <c r="L50" i="50"/>
  <c r="J50" i="50"/>
  <c r="I50" i="50"/>
  <c r="K50" i="50" s="1"/>
  <c r="L49" i="50"/>
  <c r="J49" i="50"/>
  <c r="I49" i="50"/>
  <c r="K49" i="50" s="1"/>
  <c r="L48" i="50"/>
  <c r="J48" i="50"/>
  <c r="I48" i="50"/>
  <c r="K48" i="50" s="1"/>
  <c r="L47" i="50"/>
  <c r="J47" i="50"/>
  <c r="I47" i="50"/>
  <c r="K47" i="50" s="1"/>
  <c r="L46" i="50"/>
  <c r="J46" i="50"/>
  <c r="I46" i="50"/>
  <c r="K46" i="50" s="1"/>
  <c r="L45" i="50"/>
  <c r="J45" i="50"/>
  <c r="I45" i="50"/>
  <c r="K45" i="50" s="1"/>
  <c r="L44" i="50"/>
  <c r="J44" i="50"/>
  <c r="I44" i="50"/>
  <c r="K44" i="50" s="1"/>
  <c r="R43" i="50"/>
  <c r="L43" i="50"/>
  <c r="J43" i="50"/>
  <c r="I43" i="50"/>
  <c r="K43" i="50" s="1"/>
  <c r="W42" i="50"/>
  <c r="X42" i="50" s="1"/>
  <c r="R42" i="50"/>
  <c r="L42" i="50"/>
  <c r="J42" i="50"/>
  <c r="I42" i="50"/>
  <c r="K42" i="50" s="1"/>
  <c r="L41" i="50"/>
  <c r="J41" i="50"/>
  <c r="I41" i="50"/>
  <c r="K41" i="50" s="1"/>
  <c r="I36" i="50"/>
  <c r="I34" i="50"/>
  <c r="K31" i="50"/>
  <c r="G30" i="50"/>
  <c r="F27" i="50"/>
  <c r="J24" i="50"/>
  <c r="X20" i="23" s="1"/>
  <c r="F24" i="50"/>
  <c r="J23" i="50"/>
  <c r="J22" i="50"/>
  <c r="W49" i="50" s="1"/>
  <c r="X49" i="50" s="1"/>
  <c r="J21" i="50"/>
  <c r="W47" i="50" s="1"/>
  <c r="X47" i="50" s="1"/>
  <c r="W52" i="50"/>
  <c r="X52" i="50" s="1"/>
  <c r="G20" i="50"/>
  <c r="F19" i="50" s="1"/>
  <c r="G19" i="50" s="1"/>
  <c r="J19" i="50"/>
  <c r="W30" i="50" s="1"/>
  <c r="X30" i="50" s="1"/>
  <c r="F17" i="50"/>
  <c r="G17" i="50" s="1"/>
  <c r="L16" i="50"/>
  <c r="X37" i="23" s="1"/>
  <c r="H14" i="50"/>
  <c r="L13" i="50"/>
  <c r="E13" i="50"/>
  <c r="F13" i="50" s="1"/>
  <c r="H9" i="50"/>
  <c r="C9" i="50"/>
  <c r="K8" i="50"/>
  <c r="H8" i="50"/>
  <c r="C8" i="50"/>
  <c r="K7" i="50"/>
  <c r="H7" i="50"/>
  <c r="C7" i="50"/>
  <c r="J6" i="50"/>
  <c r="H6" i="50"/>
  <c r="C6" i="50"/>
  <c r="L97" i="49"/>
  <c r="L95" i="49"/>
  <c r="L94" i="49"/>
  <c r="L86" i="49"/>
  <c r="J86" i="49"/>
  <c r="I86" i="49"/>
  <c r="K86" i="49" s="1"/>
  <c r="L85" i="49"/>
  <c r="J85" i="49"/>
  <c r="I85" i="49"/>
  <c r="K85" i="49" s="1"/>
  <c r="L84" i="49"/>
  <c r="J84" i="49"/>
  <c r="I84" i="49"/>
  <c r="K84" i="49" s="1"/>
  <c r="L83" i="49"/>
  <c r="J83" i="49"/>
  <c r="I83" i="49"/>
  <c r="K83" i="49" s="1"/>
  <c r="L82" i="49"/>
  <c r="J82" i="49"/>
  <c r="I82" i="49"/>
  <c r="K82" i="49" s="1"/>
  <c r="L81" i="49"/>
  <c r="J81" i="49"/>
  <c r="I81" i="49"/>
  <c r="K81" i="49" s="1"/>
  <c r="L80" i="49"/>
  <c r="J80" i="49"/>
  <c r="I80" i="49"/>
  <c r="K80" i="49" s="1"/>
  <c r="L79" i="49"/>
  <c r="J79" i="49"/>
  <c r="I79" i="49"/>
  <c r="K79" i="49" s="1"/>
  <c r="L78" i="49"/>
  <c r="J78" i="49"/>
  <c r="I78" i="49"/>
  <c r="K78" i="49" s="1"/>
  <c r="L77" i="49"/>
  <c r="J77" i="49"/>
  <c r="I77" i="49"/>
  <c r="K77" i="49" s="1"/>
  <c r="L76" i="49"/>
  <c r="J76" i="49"/>
  <c r="I76" i="49"/>
  <c r="K76" i="49" s="1"/>
  <c r="L75" i="49"/>
  <c r="J75" i="49"/>
  <c r="I75" i="49"/>
  <c r="K75" i="49" s="1"/>
  <c r="L74" i="49"/>
  <c r="J74" i="49"/>
  <c r="I74" i="49"/>
  <c r="K74" i="49" s="1"/>
  <c r="L73" i="49"/>
  <c r="J73" i="49"/>
  <c r="I73" i="49"/>
  <c r="K73" i="49" s="1"/>
  <c r="L72" i="49"/>
  <c r="J72" i="49"/>
  <c r="I72" i="49"/>
  <c r="K72" i="49" s="1"/>
  <c r="L65" i="49"/>
  <c r="J65" i="49"/>
  <c r="I65" i="49"/>
  <c r="K65" i="49" s="1"/>
  <c r="L64" i="49"/>
  <c r="J64" i="49"/>
  <c r="I64" i="49"/>
  <c r="K64" i="49" s="1"/>
  <c r="L63" i="49"/>
  <c r="J63" i="49"/>
  <c r="I63" i="49"/>
  <c r="K63" i="49" s="1"/>
  <c r="L62" i="49"/>
  <c r="J62" i="49"/>
  <c r="I62" i="49"/>
  <c r="K62" i="49" s="1"/>
  <c r="L61" i="49"/>
  <c r="J61" i="49"/>
  <c r="I61" i="49"/>
  <c r="K61" i="49" s="1"/>
  <c r="L60" i="49"/>
  <c r="J60" i="49"/>
  <c r="I60" i="49"/>
  <c r="K60" i="49" s="1"/>
  <c r="L59" i="49"/>
  <c r="J59" i="49"/>
  <c r="I59" i="49"/>
  <c r="K59" i="49" s="1"/>
  <c r="L58" i="49"/>
  <c r="J58" i="49"/>
  <c r="I58" i="49"/>
  <c r="K58" i="49" s="1"/>
  <c r="L57" i="49"/>
  <c r="J57" i="49"/>
  <c r="I57" i="49"/>
  <c r="K57" i="49" s="1"/>
  <c r="L56" i="49"/>
  <c r="J56" i="49"/>
  <c r="I56" i="49"/>
  <c r="K56" i="49" s="1"/>
  <c r="X55" i="49"/>
  <c r="L55" i="49"/>
  <c r="J55" i="49"/>
  <c r="I55" i="49"/>
  <c r="K55" i="49" s="1"/>
  <c r="X54" i="49"/>
  <c r="L54" i="49"/>
  <c r="J54" i="49"/>
  <c r="I54" i="49"/>
  <c r="K54" i="49" s="1"/>
  <c r="L53" i="49"/>
  <c r="J53" i="49"/>
  <c r="I53" i="49"/>
  <c r="K53" i="49" s="1"/>
  <c r="L52" i="49"/>
  <c r="J52" i="49"/>
  <c r="I52" i="49"/>
  <c r="K52" i="49" s="1"/>
  <c r="L51" i="49"/>
  <c r="J51" i="49"/>
  <c r="I51" i="49"/>
  <c r="K51" i="49" s="1"/>
  <c r="L50" i="49"/>
  <c r="J50" i="49"/>
  <c r="I50" i="49"/>
  <c r="K50" i="49" s="1"/>
  <c r="L49" i="49"/>
  <c r="J49" i="49"/>
  <c r="I49" i="49"/>
  <c r="K49" i="49" s="1"/>
  <c r="L48" i="49"/>
  <c r="J48" i="49"/>
  <c r="I48" i="49"/>
  <c r="K48" i="49" s="1"/>
  <c r="L47" i="49"/>
  <c r="J47" i="49"/>
  <c r="I47" i="49"/>
  <c r="K47" i="49" s="1"/>
  <c r="L46" i="49"/>
  <c r="J46" i="49"/>
  <c r="I46" i="49"/>
  <c r="K46" i="49" s="1"/>
  <c r="L45" i="49"/>
  <c r="J45" i="49"/>
  <c r="I45" i="49"/>
  <c r="K45" i="49" s="1"/>
  <c r="L44" i="49"/>
  <c r="J44" i="49"/>
  <c r="I44" i="49"/>
  <c r="K44" i="49" s="1"/>
  <c r="R43" i="49"/>
  <c r="L43" i="49"/>
  <c r="J43" i="49"/>
  <c r="I43" i="49"/>
  <c r="K43" i="49" s="1"/>
  <c r="R42" i="49"/>
  <c r="L42" i="49"/>
  <c r="J42" i="49"/>
  <c r="I42" i="49"/>
  <c r="K42" i="49" s="1"/>
  <c r="L41" i="49"/>
  <c r="J41" i="49"/>
  <c r="I41" i="49"/>
  <c r="K41" i="49" s="1"/>
  <c r="I36" i="49"/>
  <c r="I34" i="49"/>
  <c r="K31" i="49"/>
  <c r="G30" i="49"/>
  <c r="F27" i="49"/>
  <c r="J24" i="49"/>
  <c r="X19" i="23" s="1"/>
  <c r="F24" i="49"/>
  <c r="J23" i="49"/>
  <c r="W51" i="49" s="1"/>
  <c r="X51" i="49" s="1"/>
  <c r="J22" i="49"/>
  <c r="T19" i="23" s="1"/>
  <c r="J21" i="49"/>
  <c r="R19" i="23" s="1"/>
  <c r="W41" i="49"/>
  <c r="X41" i="49" s="1"/>
  <c r="G20" i="49"/>
  <c r="F19" i="49" s="1"/>
  <c r="G19" i="49" s="1"/>
  <c r="J19" i="49"/>
  <c r="W32" i="49" s="1"/>
  <c r="X32" i="49" s="1"/>
  <c r="F17" i="49"/>
  <c r="G17" i="49" s="1"/>
  <c r="L16" i="49"/>
  <c r="X36" i="23" s="1"/>
  <c r="H14" i="49"/>
  <c r="L13" i="49"/>
  <c r="K109" i="49" s="1"/>
  <c r="E13" i="49"/>
  <c r="F13" i="49" s="1"/>
  <c r="H9" i="49"/>
  <c r="C9" i="49"/>
  <c r="K8" i="49"/>
  <c r="H8" i="49"/>
  <c r="C8" i="49"/>
  <c r="K7" i="49"/>
  <c r="H7" i="49"/>
  <c r="C7" i="49"/>
  <c r="J6" i="49"/>
  <c r="H6" i="49"/>
  <c r="C6" i="49"/>
  <c r="L97" i="48"/>
  <c r="L95" i="48"/>
  <c r="L94" i="48"/>
  <c r="L86" i="48"/>
  <c r="J86" i="48"/>
  <c r="I86" i="48"/>
  <c r="K86" i="48" s="1"/>
  <c r="L85" i="48"/>
  <c r="J85" i="48"/>
  <c r="I85" i="48"/>
  <c r="K85" i="48" s="1"/>
  <c r="L84" i="48"/>
  <c r="J84" i="48"/>
  <c r="I84" i="48"/>
  <c r="K84" i="48" s="1"/>
  <c r="L83" i="48"/>
  <c r="J83" i="48"/>
  <c r="I83" i="48"/>
  <c r="K83" i="48" s="1"/>
  <c r="L82" i="48"/>
  <c r="J82" i="48"/>
  <c r="I82" i="48"/>
  <c r="K82" i="48" s="1"/>
  <c r="L81" i="48"/>
  <c r="J81" i="48"/>
  <c r="I81" i="48"/>
  <c r="K81" i="48" s="1"/>
  <c r="L80" i="48"/>
  <c r="J80" i="48"/>
  <c r="I80" i="48"/>
  <c r="K80" i="48" s="1"/>
  <c r="L79" i="48"/>
  <c r="J79" i="48"/>
  <c r="I79" i="48"/>
  <c r="K79" i="48" s="1"/>
  <c r="L78" i="48"/>
  <c r="J78" i="48"/>
  <c r="I78" i="48"/>
  <c r="K78" i="48" s="1"/>
  <c r="L77" i="48"/>
  <c r="J77" i="48"/>
  <c r="I77" i="48"/>
  <c r="K77" i="48" s="1"/>
  <c r="L76" i="48"/>
  <c r="J76" i="48"/>
  <c r="I76" i="48"/>
  <c r="K76" i="48" s="1"/>
  <c r="L75" i="48"/>
  <c r="J75" i="48"/>
  <c r="I75" i="48"/>
  <c r="K75" i="48" s="1"/>
  <c r="L74" i="48"/>
  <c r="J74" i="48"/>
  <c r="I74" i="48"/>
  <c r="K74" i="48" s="1"/>
  <c r="L73" i="48"/>
  <c r="J73" i="48"/>
  <c r="I73" i="48"/>
  <c r="K73" i="48" s="1"/>
  <c r="L72" i="48"/>
  <c r="J72" i="48"/>
  <c r="I72" i="48"/>
  <c r="K72" i="48" s="1"/>
  <c r="L65" i="48"/>
  <c r="J65" i="48"/>
  <c r="I65" i="48"/>
  <c r="K65" i="48" s="1"/>
  <c r="L64" i="48"/>
  <c r="J64" i="48"/>
  <c r="I64" i="48"/>
  <c r="K64" i="48" s="1"/>
  <c r="L63" i="48"/>
  <c r="J63" i="48"/>
  <c r="I63" i="48"/>
  <c r="K63" i="48" s="1"/>
  <c r="L62" i="48"/>
  <c r="J62" i="48"/>
  <c r="I62" i="48"/>
  <c r="K62" i="48" s="1"/>
  <c r="L61" i="48"/>
  <c r="J61" i="48"/>
  <c r="I61" i="48"/>
  <c r="K61" i="48" s="1"/>
  <c r="L60" i="48"/>
  <c r="J60" i="48"/>
  <c r="I60" i="48"/>
  <c r="K60" i="48" s="1"/>
  <c r="L59" i="48"/>
  <c r="J59" i="48"/>
  <c r="I59" i="48"/>
  <c r="K59" i="48" s="1"/>
  <c r="L58" i="48"/>
  <c r="J58" i="48"/>
  <c r="I58" i="48"/>
  <c r="K58" i="48" s="1"/>
  <c r="L57" i="48"/>
  <c r="J57" i="48"/>
  <c r="I57" i="48"/>
  <c r="K57" i="48" s="1"/>
  <c r="L56" i="48"/>
  <c r="J56" i="48"/>
  <c r="I56" i="48"/>
  <c r="K56" i="48" s="1"/>
  <c r="X55" i="48"/>
  <c r="L55" i="48"/>
  <c r="J55" i="48"/>
  <c r="I55" i="48"/>
  <c r="K55" i="48" s="1"/>
  <c r="X54" i="48"/>
  <c r="L54" i="48"/>
  <c r="J54" i="48"/>
  <c r="I54" i="48"/>
  <c r="K54" i="48" s="1"/>
  <c r="L53" i="48"/>
  <c r="J53" i="48"/>
  <c r="I53" i="48"/>
  <c r="K53" i="48" s="1"/>
  <c r="L52" i="48"/>
  <c r="J52" i="48"/>
  <c r="I52" i="48"/>
  <c r="K52" i="48" s="1"/>
  <c r="L51" i="48"/>
  <c r="J51" i="48"/>
  <c r="I51" i="48"/>
  <c r="K51" i="48" s="1"/>
  <c r="L50" i="48"/>
  <c r="J50" i="48"/>
  <c r="I50" i="48"/>
  <c r="K50" i="48" s="1"/>
  <c r="L49" i="48"/>
  <c r="J49" i="48"/>
  <c r="I49" i="48"/>
  <c r="K49" i="48" s="1"/>
  <c r="L48" i="48"/>
  <c r="J48" i="48"/>
  <c r="I48" i="48"/>
  <c r="K48" i="48" s="1"/>
  <c r="L47" i="48"/>
  <c r="J47" i="48"/>
  <c r="I47" i="48"/>
  <c r="K47" i="48" s="1"/>
  <c r="L46" i="48"/>
  <c r="J46" i="48"/>
  <c r="I46" i="48"/>
  <c r="K46" i="48" s="1"/>
  <c r="L45" i="48"/>
  <c r="J45" i="48"/>
  <c r="I45" i="48"/>
  <c r="K45" i="48" s="1"/>
  <c r="L44" i="48"/>
  <c r="J44" i="48"/>
  <c r="I44" i="48"/>
  <c r="K44" i="48" s="1"/>
  <c r="R43" i="48"/>
  <c r="L43" i="48"/>
  <c r="J43" i="48"/>
  <c r="I43" i="48"/>
  <c r="K43" i="48" s="1"/>
  <c r="R42" i="48"/>
  <c r="L42" i="48"/>
  <c r="J42" i="48"/>
  <c r="I42" i="48"/>
  <c r="K42" i="48" s="1"/>
  <c r="L41" i="48"/>
  <c r="J41" i="48"/>
  <c r="I41" i="48"/>
  <c r="K41" i="48" s="1"/>
  <c r="I36" i="48"/>
  <c r="I34" i="48"/>
  <c r="K31" i="48"/>
  <c r="G30" i="48"/>
  <c r="F27" i="48"/>
  <c r="J24" i="48"/>
  <c r="X18" i="23" s="1"/>
  <c r="F24" i="48"/>
  <c r="J23" i="48"/>
  <c r="W51" i="48" s="1"/>
  <c r="X51" i="48" s="1"/>
  <c r="J22" i="48"/>
  <c r="T18" i="23" s="1"/>
  <c r="J21" i="48"/>
  <c r="W46" i="48" s="1"/>
  <c r="X46" i="48" s="1"/>
  <c r="W40" i="48"/>
  <c r="X40" i="48" s="1"/>
  <c r="G20" i="48"/>
  <c r="F19" i="48" s="1"/>
  <c r="G19" i="48" s="1"/>
  <c r="J19" i="48"/>
  <c r="W38" i="48" s="1"/>
  <c r="X38" i="48" s="1"/>
  <c r="F17" i="48"/>
  <c r="G17" i="48" s="1"/>
  <c r="L16" i="48"/>
  <c r="X35" i="23" s="1"/>
  <c r="H14" i="48"/>
  <c r="L13" i="48"/>
  <c r="E13" i="48"/>
  <c r="F13" i="48" s="1"/>
  <c r="H9" i="48"/>
  <c r="C9" i="48"/>
  <c r="K8" i="48"/>
  <c r="H8" i="48"/>
  <c r="C8" i="48"/>
  <c r="K7" i="48"/>
  <c r="H7" i="48"/>
  <c r="C7" i="48"/>
  <c r="J6" i="48"/>
  <c r="H6" i="48"/>
  <c r="C6" i="48"/>
  <c r="L97" i="47"/>
  <c r="L95" i="47"/>
  <c r="L94" i="47"/>
  <c r="L86" i="47"/>
  <c r="J86" i="47"/>
  <c r="I86" i="47"/>
  <c r="K86" i="47" s="1"/>
  <c r="L85" i="47"/>
  <c r="J85" i="47"/>
  <c r="I85" i="47"/>
  <c r="K85" i="47" s="1"/>
  <c r="L84" i="47"/>
  <c r="J84" i="47"/>
  <c r="I84" i="47"/>
  <c r="K84" i="47" s="1"/>
  <c r="L83" i="47"/>
  <c r="J83" i="47"/>
  <c r="I83" i="47"/>
  <c r="K83" i="47" s="1"/>
  <c r="L82" i="47"/>
  <c r="J82" i="47"/>
  <c r="I82" i="47"/>
  <c r="K82" i="47" s="1"/>
  <c r="L81" i="47"/>
  <c r="J81" i="47"/>
  <c r="I81" i="47"/>
  <c r="K81" i="47" s="1"/>
  <c r="L80" i="47"/>
  <c r="J80" i="47"/>
  <c r="I80" i="47"/>
  <c r="K80" i="47" s="1"/>
  <c r="L79" i="47"/>
  <c r="J79" i="47"/>
  <c r="I79" i="47"/>
  <c r="K79" i="47" s="1"/>
  <c r="L78" i="47"/>
  <c r="J78" i="47"/>
  <c r="I78" i="47"/>
  <c r="K78" i="47" s="1"/>
  <c r="L77" i="47"/>
  <c r="J77" i="47"/>
  <c r="I77" i="47"/>
  <c r="K77" i="47" s="1"/>
  <c r="L76" i="47"/>
  <c r="J76" i="47"/>
  <c r="I76" i="47"/>
  <c r="K76" i="47" s="1"/>
  <c r="L75" i="47"/>
  <c r="J75" i="47"/>
  <c r="I75" i="47"/>
  <c r="K75" i="47" s="1"/>
  <c r="L74" i="47"/>
  <c r="J74" i="47"/>
  <c r="I74" i="47"/>
  <c r="K74" i="47" s="1"/>
  <c r="L73" i="47"/>
  <c r="J73" i="47"/>
  <c r="I73" i="47"/>
  <c r="K73" i="47" s="1"/>
  <c r="L72" i="47"/>
  <c r="J72" i="47"/>
  <c r="I72" i="47"/>
  <c r="K72" i="47" s="1"/>
  <c r="L65" i="47"/>
  <c r="J65" i="47"/>
  <c r="I65" i="47"/>
  <c r="K65" i="47" s="1"/>
  <c r="L64" i="47"/>
  <c r="J64" i="47"/>
  <c r="I64" i="47"/>
  <c r="K64" i="47" s="1"/>
  <c r="L63" i="47"/>
  <c r="J63" i="47"/>
  <c r="I63" i="47"/>
  <c r="K63" i="47" s="1"/>
  <c r="L62" i="47"/>
  <c r="J62" i="47"/>
  <c r="I62" i="47"/>
  <c r="K62" i="47" s="1"/>
  <c r="L61" i="47"/>
  <c r="J61" i="47"/>
  <c r="I61" i="47"/>
  <c r="K61" i="47" s="1"/>
  <c r="L60" i="47"/>
  <c r="J60" i="47"/>
  <c r="I60" i="47"/>
  <c r="K60" i="47" s="1"/>
  <c r="L59" i="47"/>
  <c r="J59" i="47"/>
  <c r="I59" i="47"/>
  <c r="K59" i="47" s="1"/>
  <c r="L58" i="47"/>
  <c r="J58" i="47"/>
  <c r="I58" i="47"/>
  <c r="K58" i="47" s="1"/>
  <c r="L57" i="47"/>
  <c r="J57" i="47"/>
  <c r="I57" i="47"/>
  <c r="K57" i="47" s="1"/>
  <c r="L56" i="47"/>
  <c r="J56" i="47"/>
  <c r="I56" i="47"/>
  <c r="K56" i="47" s="1"/>
  <c r="X55" i="47"/>
  <c r="L55" i="47"/>
  <c r="J55" i="47"/>
  <c r="I55" i="47"/>
  <c r="K55" i="47" s="1"/>
  <c r="X54" i="47"/>
  <c r="L54" i="47"/>
  <c r="J54" i="47"/>
  <c r="I54" i="47"/>
  <c r="K54" i="47" s="1"/>
  <c r="L53" i="47"/>
  <c r="J53" i="47"/>
  <c r="I53" i="47"/>
  <c r="K53" i="47" s="1"/>
  <c r="L52" i="47"/>
  <c r="J52" i="47"/>
  <c r="I52" i="47"/>
  <c r="K52" i="47" s="1"/>
  <c r="L51" i="47"/>
  <c r="J51" i="47"/>
  <c r="I51" i="47"/>
  <c r="K51" i="47" s="1"/>
  <c r="L50" i="47"/>
  <c r="J50" i="47"/>
  <c r="I50" i="47"/>
  <c r="K50" i="47" s="1"/>
  <c r="L49" i="47"/>
  <c r="J49" i="47"/>
  <c r="I49" i="47"/>
  <c r="K49" i="47" s="1"/>
  <c r="L48" i="47"/>
  <c r="J48" i="47"/>
  <c r="I48" i="47"/>
  <c r="K48" i="47" s="1"/>
  <c r="L47" i="47"/>
  <c r="J47" i="47"/>
  <c r="I47" i="47"/>
  <c r="K47" i="47" s="1"/>
  <c r="L46" i="47"/>
  <c r="J46" i="47"/>
  <c r="I46" i="47"/>
  <c r="K46" i="47" s="1"/>
  <c r="L45" i="47"/>
  <c r="J45" i="47"/>
  <c r="I45" i="47"/>
  <c r="K45" i="47" s="1"/>
  <c r="L44" i="47"/>
  <c r="J44" i="47"/>
  <c r="I44" i="47"/>
  <c r="K44" i="47" s="1"/>
  <c r="R43" i="47"/>
  <c r="L43" i="47"/>
  <c r="J43" i="47"/>
  <c r="I43" i="47"/>
  <c r="K43" i="47" s="1"/>
  <c r="W42" i="47"/>
  <c r="X42" i="47" s="1"/>
  <c r="R42" i="47"/>
  <c r="L42" i="47"/>
  <c r="J42" i="47"/>
  <c r="I42" i="47"/>
  <c r="K42" i="47" s="1"/>
  <c r="L41" i="47"/>
  <c r="J41" i="47"/>
  <c r="I41" i="47"/>
  <c r="K41" i="47" s="1"/>
  <c r="W40" i="47"/>
  <c r="X40" i="47" s="1"/>
  <c r="I36" i="47"/>
  <c r="I34" i="47"/>
  <c r="K31" i="47"/>
  <c r="G30" i="47"/>
  <c r="F27" i="47"/>
  <c r="J24" i="47"/>
  <c r="X17" i="23" s="1"/>
  <c r="F24" i="47"/>
  <c r="J23" i="47"/>
  <c r="L23" i="47" s="1"/>
  <c r="W17" i="23" s="1"/>
  <c r="J22" i="47"/>
  <c r="T17" i="23" s="1"/>
  <c r="J21" i="47"/>
  <c r="W46" i="47" s="1"/>
  <c r="X46" i="47" s="1"/>
  <c r="W52" i="47"/>
  <c r="X52" i="47" s="1"/>
  <c r="G20" i="47"/>
  <c r="F19" i="47" s="1"/>
  <c r="G19" i="47" s="1"/>
  <c r="J19" i="47"/>
  <c r="W34" i="47" s="1"/>
  <c r="X34" i="47" s="1"/>
  <c r="F17" i="47"/>
  <c r="G17" i="47" s="1"/>
  <c r="L16" i="47"/>
  <c r="X34" i="23" s="1"/>
  <c r="H14" i="47"/>
  <c r="L13" i="47"/>
  <c r="E13" i="47"/>
  <c r="F13" i="47" s="1"/>
  <c r="H9" i="47"/>
  <c r="C9" i="47"/>
  <c r="K8" i="47"/>
  <c r="H8" i="47"/>
  <c r="C8" i="47"/>
  <c r="K7" i="47"/>
  <c r="H7" i="47"/>
  <c r="C7" i="47"/>
  <c r="J6" i="47"/>
  <c r="H6" i="47"/>
  <c r="C6" i="47"/>
  <c r="L97" i="45"/>
  <c r="L95" i="45"/>
  <c r="L94" i="45"/>
  <c r="L86" i="45"/>
  <c r="J86" i="45"/>
  <c r="I86" i="45"/>
  <c r="K86" i="45" s="1"/>
  <c r="L85" i="45"/>
  <c r="J85" i="45"/>
  <c r="I85" i="45"/>
  <c r="K85" i="45" s="1"/>
  <c r="L84" i="45"/>
  <c r="J84" i="45"/>
  <c r="I84" i="45"/>
  <c r="K84" i="45" s="1"/>
  <c r="L83" i="45"/>
  <c r="J83" i="45"/>
  <c r="I83" i="45"/>
  <c r="K83" i="45" s="1"/>
  <c r="L82" i="45"/>
  <c r="J82" i="45"/>
  <c r="I82" i="45"/>
  <c r="K82" i="45" s="1"/>
  <c r="L81" i="45"/>
  <c r="J81" i="45"/>
  <c r="I81" i="45"/>
  <c r="K81" i="45" s="1"/>
  <c r="L80" i="45"/>
  <c r="J80" i="45"/>
  <c r="I80" i="45"/>
  <c r="K80" i="45" s="1"/>
  <c r="L79" i="45"/>
  <c r="J79" i="45"/>
  <c r="I79" i="45"/>
  <c r="K79" i="45" s="1"/>
  <c r="L78" i="45"/>
  <c r="J78" i="45"/>
  <c r="I78" i="45"/>
  <c r="K78" i="45" s="1"/>
  <c r="L77" i="45"/>
  <c r="J77" i="45"/>
  <c r="I77" i="45"/>
  <c r="K77" i="45" s="1"/>
  <c r="L76" i="45"/>
  <c r="J76" i="45"/>
  <c r="I76" i="45"/>
  <c r="K76" i="45" s="1"/>
  <c r="L75" i="45"/>
  <c r="J75" i="45"/>
  <c r="I75" i="45"/>
  <c r="K75" i="45" s="1"/>
  <c r="L74" i="45"/>
  <c r="J74" i="45"/>
  <c r="I74" i="45"/>
  <c r="K74" i="45" s="1"/>
  <c r="L73" i="45"/>
  <c r="J73" i="45"/>
  <c r="I73" i="45"/>
  <c r="K73" i="45" s="1"/>
  <c r="L72" i="45"/>
  <c r="J72" i="45"/>
  <c r="I72" i="45"/>
  <c r="K72" i="45" s="1"/>
  <c r="L65" i="45"/>
  <c r="J65" i="45"/>
  <c r="I65" i="45"/>
  <c r="K65" i="45" s="1"/>
  <c r="L64" i="45"/>
  <c r="J64" i="45"/>
  <c r="I64" i="45"/>
  <c r="K64" i="45" s="1"/>
  <c r="L63" i="45"/>
  <c r="J63" i="45"/>
  <c r="I63" i="45"/>
  <c r="K63" i="45" s="1"/>
  <c r="L62" i="45"/>
  <c r="J62" i="45"/>
  <c r="I62" i="45"/>
  <c r="K62" i="45" s="1"/>
  <c r="L61" i="45"/>
  <c r="J61" i="45"/>
  <c r="I61" i="45"/>
  <c r="K61" i="45" s="1"/>
  <c r="L60" i="45"/>
  <c r="J60" i="45"/>
  <c r="I60" i="45"/>
  <c r="K60" i="45" s="1"/>
  <c r="L59" i="45"/>
  <c r="J59" i="45"/>
  <c r="I59" i="45"/>
  <c r="K59" i="45" s="1"/>
  <c r="L58" i="45"/>
  <c r="J58" i="45"/>
  <c r="I58" i="45"/>
  <c r="K58" i="45" s="1"/>
  <c r="L57" i="45"/>
  <c r="J57" i="45"/>
  <c r="I57" i="45"/>
  <c r="K57" i="45" s="1"/>
  <c r="L56" i="45"/>
  <c r="J56" i="45"/>
  <c r="I56" i="45"/>
  <c r="K56" i="45" s="1"/>
  <c r="X55" i="45"/>
  <c r="L55" i="45"/>
  <c r="J55" i="45"/>
  <c r="I55" i="45"/>
  <c r="K55" i="45" s="1"/>
  <c r="X54" i="45"/>
  <c r="L54" i="45"/>
  <c r="J54" i="45"/>
  <c r="I54" i="45"/>
  <c r="K54" i="45" s="1"/>
  <c r="L53" i="45"/>
  <c r="J53" i="45"/>
  <c r="I53" i="45"/>
  <c r="K53" i="45" s="1"/>
  <c r="L52" i="45"/>
  <c r="J52" i="45"/>
  <c r="I52" i="45"/>
  <c r="K52" i="45" s="1"/>
  <c r="L51" i="45"/>
  <c r="J51" i="45"/>
  <c r="I51" i="45"/>
  <c r="K51" i="45" s="1"/>
  <c r="L50" i="45"/>
  <c r="J50" i="45"/>
  <c r="I50" i="45"/>
  <c r="K50" i="45" s="1"/>
  <c r="L49" i="45"/>
  <c r="J49" i="45"/>
  <c r="I49" i="45"/>
  <c r="K49" i="45" s="1"/>
  <c r="L48" i="45"/>
  <c r="J48" i="45"/>
  <c r="I48" i="45"/>
  <c r="K48" i="45" s="1"/>
  <c r="L47" i="45"/>
  <c r="J47" i="45"/>
  <c r="I47" i="45"/>
  <c r="K47" i="45" s="1"/>
  <c r="L46" i="45"/>
  <c r="J46" i="45"/>
  <c r="I46" i="45"/>
  <c r="K46" i="45" s="1"/>
  <c r="L45" i="45"/>
  <c r="J45" i="45"/>
  <c r="I45" i="45"/>
  <c r="K45" i="45" s="1"/>
  <c r="L44" i="45"/>
  <c r="J44" i="45"/>
  <c r="I44" i="45"/>
  <c r="K44" i="45" s="1"/>
  <c r="R43" i="45"/>
  <c r="L43" i="45"/>
  <c r="J43" i="45"/>
  <c r="I43" i="45"/>
  <c r="K43" i="45" s="1"/>
  <c r="R42" i="45"/>
  <c r="L42" i="45"/>
  <c r="J42" i="45"/>
  <c r="I42" i="45"/>
  <c r="K42" i="45" s="1"/>
  <c r="L41" i="45"/>
  <c r="J41" i="45"/>
  <c r="I41" i="45"/>
  <c r="K41" i="45" s="1"/>
  <c r="I36" i="45"/>
  <c r="I34" i="45"/>
  <c r="K31" i="45"/>
  <c r="G30" i="45"/>
  <c r="F27" i="45"/>
  <c r="J24" i="45"/>
  <c r="X16" i="23" s="1"/>
  <c r="F24" i="45"/>
  <c r="J23" i="45"/>
  <c r="V16" i="23" s="1"/>
  <c r="J22" i="45"/>
  <c r="T16" i="23" s="1"/>
  <c r="J21" i="45"/>
  <c r="R16" i="23" s="1"/>
  <c r="W52" i="45"/>
  <c r="X52" i="45" s="1"/>
  <c r="G20" i="45"/>
  <c r="F19" i="45" s="1"/>
  <c r="G19" i="45" s="1"/>
  <c r="J19" i="45"/>
  <c r="W35" i="45" s="1"/>
  <c r="X35" i="45" s="1"/>
  <c r="F17" i="45"/>
  <c r="G17" i="45" s="1"/>
  <c r="L16" i="45"/>
  <c r="X33" i="23" s="1"/>
  <c r="H14" i="45"/>
  <c r="L13" i="45"/>
  <c r="E13" i="45"/>
  <c r="F13" i="45" s="1"/>
  <c r="H9" i="45"/>
  <c r="C9" i="45"/>
  <c r="K8" i="45"/>
  <c r="H8" i="45"/>
  <c r="C8" i="45"/>
  <c r="K7" i="45"/>
  <c r="H7" i="45"/>
  <c r="C7" i="45"/>
  <c r="J6" i="45"/>
  <c r="H6" i="45"/>
  <c r="C6" i="45"/>
  <c r="L97" i="44"/>
  <c r="L95" i="44"/>
  <c r="L94" i="44"/>
  <c r="L86" i="44"/>
  <c r="J86" i="44"/>
  <c r="I86" i="44"/>
  <c r="K86" i="44" s="1"/>
  <c r="L85" i="44"/>
  <c r="J85" i="44"/>
  <c r="I85" i="44"/>
  <c r="K85" i="44" s="1"/>
  <c r="L84" i="44"/>
  <c r="J84" i="44"/>
  <c r="I84" i="44"/>
  <c r="K84" i="44" s="1"/>
  <c r="L83" i="44"/>
  <c r="J83" i="44"/>
  <c r="I83" i="44"/>
  <c r="K83" i="44" s="1"/>
  <c r="L82" i="44"/>
  <c r="J82" i="44"/>
  <c r="I82" i="44"/>
  <c r="K82" i="44" s="1"/>
  <c r="L81" i="44"/>
  <c r="J81" i="44"/>
  <c r="I81" i="44"/>
  <c r="K81" i="44" s="1"/>
  <c r="L80" i="44"/>
  <c r="J80" i="44"/>
  <c r="I80" i="44"/>
  <c r="K80" i="44" s="1"/>
  <c r="L79" i="44"/>
  <c r="J79" i="44"/>
  <c r="I79" i="44"/>
  <c r="K79" i="44" s="1"/>
  <c r="L78" i="44"/>
  <c r="J78" i="44"/>
  <c r="I78" i="44"/>
  <c r="K78" i="44" s="1"/>
  <c r="L77" i="44"/>
  <c r="J77" i="44"/>
  <c r="I77" i="44"/>
  <c r="K77" i="44" s="1"/>
  <c r="L76" i="44"/>
  <c r="J76" i="44"/>
  <c r="I76" i="44"/>
  <c r="K76" i="44" s="1"/>
  <c r="L75" i="44"/>
  <c r="J75" i="44"/>
  <c r="I75" i="44"/>
  <c r="K75" i="44" s="1"/>
  <c r="L74" i="44"/>
  <c r="J74" i="44"/>
  <c r="I74" i="44"/>
  <c r="K74" i="44" s="1"/>
  <c r="L73" i="44"/>
  <c r="J73" i="44"/>
  <c r="I73" i="44"/>
  <c r="K73" i="44" s="1"/>
  <c r="L72" i="44"/>
  <c r="J72" i="44"/>
  <c r="I72" i="44"/>
  <c r="K72" i="44" s="1"/>
  <c r="L65" i="44"/>
  <c r="J65" i="44"/>
  <c r="I65" i="44"/>
  <c r="K65" i="44" s="1"/>
  <c r="L64" i="44"/>
  <c r="J64" i="44"/>
  <c r="I64" i="44"/>
  <c r="K64" i="44" s="1"/>
  <c r="L63" i="44"/>
  <c r="J63" i="44"/>
  <c r="I63" i="44"/>
  <c r="K63" i="44" s="1"/>
  <c r="L62" i="44"/>
  <c r="J62" i="44"/>
  <c r="I62" i="44"/>
  <c r="K62" i="44" s="1"/>
  <c r="L61" i="44"/>
  <c r="J61" i="44"/>
  <c r="I61" i="44"/>
  <c r="K61" i="44" s="1"/>
  <c r="L60" i="44"/>
  <c r="J60" i="44"/>
  <c r="I60" i="44"/>
  <c r="K60" i="44" s="1"/>
  <c r="L59" i="44"/>
  <c r="J59" i="44"/>
  <c r="I59" i="44"/>
  <c r="K59" i="44" s="1"/>
  <c r="L58" i="44"/>
  <c r="J58" i="44"/>
  <c r="I58" i="44"/>
  <c r="K58" i="44" s="1"/>
  <c r="L57" i="44"/>
  <c r="J57" i="44"/>
  <c r="I57" i="44"/>
  <c r="K57" i="44" s="1"/>
  <c r="L56" i="44"/>
  <c r="J56" i="44"/>
  <c r="I56" i="44"/>
  <c r="K56" i="44" s="1"/>
  <c r="X55" i="44"/>
  <c r="L55" i="44"/>
  <c r="J55" i="44"/>
  <c r="I55" i="44"/>
  <c r="K55" i="44" s="1"/>
  <c r="X54" i="44"/>
  <c r="L54" i="44"/>
  <c r="J54" i="44"/>
  <c r="I54" i="44"/>
  <c r="K54" i="44" s="1"/>
  <c r="L53" i="44"/>
  <c r="J53" i="44"/>
  <c r="I53" i="44"/>
  <c r="K53" i="44" s="1"/>
  <c r="L52" i="44"/>
  <c r="J52" i="44"/>
  <c r="I52" i="44"/>
  <c r="K52" i="44" s="1"/>
  <c r="L51" i="44"/>
  <c r="J51" i="44"/>
  <c r="I51" i="44"/>
  <c r="K51" i="44" s="1"/>
  <c r="L50" i="44"/>
  <c r="J50" i="44"/>
  <c r="I50" i="44"/>
  <c r="K50" i="44" s="1"/>
  <c r="L49" i="44"/>
  <c r="J49" i="44"/>
  <c r="I49" i="44"/>
  <c r="K49" i="44" s="1"/>
  <c r="L48" i="44"/>
  <c r="J48" i="44"/>
  <c r="I48" i="44"/>
  <c r="K48" i="44" s="1"/>
  <c r="L47" i="44"/>
  <c r="J47" i="44"/>
  <c r="I47" i="44"/>
  <c r="K47" i="44" s="1"/>
  <c r="L46" i="44"/>
  <c r="J46" i="44"/>
  <c r="I46" i="44"/>
  <c r="K46" i="44" s="1"/>
  <c r="L45" i="44"/>
  <c r="J45" i="44"/>
  <c r="I45" i="44"/>
  <c r="K45" i="44" s="1"/>
  <c r="L44" i="44"/>
  <c r="J44" i="44"/>
  <c r="I44" i="44"/>
  <c r="K44" i="44" s="1"/>
  <c r="R43" i="44"/>
  <c r="L43" i="44"/>
  <c r="J43" i="44"/>
  <c r="I43" i="44"/>
  <c r="K43" i="44" s="1"/>
  <c r="R42" i="44"/>
  <c r="L42" i="44"/>
  <c r="J42" i="44"/>
  <c r="I42" i="44"/>
  <c r="K42" i="44" s="1"/>
  <c r="L41" i="44"/>
  <c r="J41" i="44"/>
  <c r="I41" i="44"/>
  <c r="K41" i="44" s="1"/>
  <c r="I36" i="44"/>
  <c r="I34" i="44"/>
  <c r="K31" i="44"/>
  <c r="G30" i="44"/>
  <c r="F27" i="44"/>
  <c r="J24" i="44"/>
  <c r="X15" i="23" s="1"/>
  <c r="F24" i="44"/>
  <c r="J23" i="44"/>
  <c r="V15" i="23" s="1"/>
  <c r="J22" i="44"/>
  <c r="W48" i="44" s="1"/>
  <c r="X48" i="44" s="1"/>
  <c r="J21" i="44"/>
  <c r="W44" i="44"/>
  <c r="X44" i="44" s="1"/>
  <c r="G20" i="44"/>
  <c r="F19" i="44" s="1"/>
  <c r="G19" i="44" s="1"/>
  <c r="J19" i="44"/>
  <c r="F17" i="44"/>
  <c r="G17" i="44" s="1"/>
  <c r="L16" i="44"/>
  <c r="X31" i="23" s="1"/>
  <c r="H14" i="44"/>
  <c r="L13" i="44"/>
  <c r="K109" i="44" s="1"/>
  <c r="E13" i="44"/>
  <c r="F13" i="44" s="1"/>
  <c r="H9" i="44"/>
  <c r="C9" i="44"/>
  <c r="K8" i="44"/>
  <c r="H8" i="44"/>
  <c r="C8" i="44"/>
  <c r="K7" i="44"/>
  <c r="H7" i="44"/>
  <c r="C7" i="44"/>
  <c r="J6" i="44"/>
  <c r="H6" i="44"/>
  <c r="C6" i="44"/>
  <c r="L97" i="43"/>
  <c r="L95" i="43"/>
  <c r="L86" i="43"/>
  <c r="J86" i="43"/>
  <c r="I86" i="43"/>
  <c r="K86" i="43" s="1"/>
  <c r="L85" i="43"/>
  <c r="J85" i="43"/>
  <c r="I85" i="43"/>
  <c r="K85" i="43" s="1"/>
  <c r="L84" i="43"/>
  <c r="J84" i="43"/>
  <c r="I84" i="43"/>
  <c r="K84" i="43" s="1"/>
  <c r="L83" i="43"/>
  <c r="J83" i="43"/>
  <c r="I83" i="43"/>
  <c r="K83" i="43" s="1"/>
  <c r="L82" i="43"/>
  <c r="J82" i="43"/>
  <c r="I82" i="43"/>
  <c r="K82" i="43" s="1"/>
  <c r="L81" i="43"/>
  <c r="J81" i="43"/>
  <c r="I81" i="43"/>
  <c r="K81" i="43" s="1"/>
  <c r="L80" i="43"/>
  <c r="J80" i="43"/>
  <c r="I80" i="43"/>
  <c r="K80" i="43" s="1"/>
  <c r="L79" i="43"/>
  <c r="J79" i="43"/>
  <c r="I79" i="43"/>
  <c r="K79" i="43" s="1"/>
  <c r="L78" i="43"/>
  <c r="J78" i="43"/>
  <c r="I78" i="43"/>
  <c r="K78" i="43" s="1"/>
  <c r="L77" i="43"/>
  <c r="J77" i="43"/>
  <c r="I77" i="43"/>
  <c r="K77" i="43" s="1"/>
  <c r="L76" i="43"/>
  <c r="J76" i="43"/>
  <c r="I76" i="43"/>
  <c r="K76" i="43" s="1"/>
  <c r="L75" i="43"/>
  <c r="J75" i="43"/>
  <c r="I75" i="43"/>
  <c r="K75" i="43" s="1"/>
  <c r="L74" i="43"/>
  <c r="J74" i="43"/>
  <c r="I74" i="43"/>
  <c r="K74" i="43" s="1"/>
  <c r="L73" i="43"/>
  <c r="J73" i="43"/>
  <c r="I73" i="43"/>
  <c r="K73" i="43" s="1"/>
  <c r="L72" i="43"/>
  <c r="J72" i="43"/>
  <c r="I72" i="43"/>
  <c r="K72" i="43" s="1"/>
  <c r="L65" i="43"/>
  <c r="J65" i="43"/>
  <c r="I65" i="43"/>
  <c r="K65" i="43" s="1"/>
  <c r="L64" i="43"/>
  <c r="J64" i="43"/>
  <c r="I64" i="43"/>
  <c r="K64" i="43" s="1"/>
  <c r="L63" i="43"/>
  <c r="J63" i="43"/>
  <c r="I63" i="43"/>
  <c r="K63" i="43" s="1"/>
  <c r="L62" i="43"/>
  <c r="J62" i="43"/>
  <c r="I62" i="43"/>
  <c r="K62" i="43" s="1"/>
  <c r="L61" i="43"/>
  <c r="J61" i="43"/>
  <c r="I61" i="43"/>
  <c r="K61" i="43" s="1"/>
  <c r="L60" i="43"/>
  <c r="J60" i="43"/>
  <c r="I60" i="43"/>
  <c r="K60" i="43" s="1"/>
  <c r="L59" i="43"/>
  <c r="J59" i="43"/>
  <c r="I59" i="43"/>
  <c r="K59" i="43" s="1"/>
  <c r="L58" i="43"/>
  <c r="J58" i="43"/>
  <c r="I58" i="43"/>
  <c r="K58" i="43" s="1"/>
  <c r="L57" i="43"/>
  <c r="J57" i="43"/>
  <c r="I57" i="43"/>
  <c r="K57" i="43" s="1"/>
  <c r="L56" i="43"/>
  <c r="J56" i="43"/>
  <c r="I56" i="43"/>
  <c r="K56" i="43" s="1"/>
  <c r="X55" i="43"/>
  <c r="L55" i="43"/>
  <c r="J55" i="43"/>
  <c r="I55" i="43"/>
  <c r="K55" i="43" s="1"/>
  <c r="X54" i="43"/>
  <c r="L54" i="43"/>
  <c r="J54" i="43"/>
  <c r="I54" i="43"/>
  <c r="K54" i="43" s="1"/>
  <c r="L53" i="43"/>
  <c r="J53" i="43"/>
  <c r="I53" i="43"/>
  <c r="K53" i="43" s="1"/>
  <c r="L52" i="43"/>
  <c r="J52" i="43"/>
  <c r="I52" i="43"/>
  <c r="K52" i="43" s="1"/>
  <c r="L51" i="43"/>
  <c r="J51" i="43"/>
  <c r="I51" i="43"/>
  <c r="K51" i="43" s="1"/>
  <c r="L50" i="43"/>
  <c r="J50" i="43"/>
  <c r="I50" i="43"/>
  <c r="K50" i="43" s="1"/>
  <c r="L49" i="43"/>
  <c r="J49" i="43"/>
  <c r="I49" i="43"/>
  <c r="K49" i="43" s="1"/>
  <c r="L48" i="43"/>
  <c r="J48" i="43"/>
  <c r="I48" i="43"/>
  <c r="K48" i="43" s="1"/>
  <c r="L47" i="43"/>
  <c r="J47" i="43"/>
  <c r="I47" i="43"/>
  <c r="K47" i="43" s="1"/>
  <c r="L46" i="43"/>
  <c r="J46" i="43"/>
  <c r="I46" i="43"/>
  <c r="K46" i="43" s="1"/>
  <c r="L45" i="43"/>
  <c r="J45" i="43"/>
  <c r="I45" i="43"/>
  <c r="K45" i="43" s="1"/>
  <c r="L44" i="43"/>
  <c r="J44" i="43"/>
  <c r="I44" i="43"/>
  <c r="K44" i="43" s="1"/>
  <c r="R43" i="43"/>
  <c r="L43" i="43"/>
  <c r="J43" i="43"/>
  <c r="I43" i="43"/>
  <c r="K43" i="43" s="1"/>
  <c r="R42" i="43"/>
  <c r="L42" i="43"/>
  <c r="J42" i="43"/>
  <c r="I42" i="43"/>
  <c r="K42" i="43" s="1"/>
  <c r="L41" i="43"/>
  <c r="J41" i="43"/>
  <c r="I41" i="43"/>
  <c r="K41" i="43" s="1"/>
  <c r="I36" i="43"/>
  <c r="I34" i="43"/>
  <c r="K31" i="43"/>
  <c r="G30" i="43"/>
  <c r="F27" i="43"/>
  <c r="J24" i="43"/>
  <c r="X14" i="23" s="1"/>
  <c r="F24" i="43"/>
  <c r="J23" i="43"/>
  <c r="J22" i="43"/>
  <c r="W49" i="43" s="1"/>
  <c r="X49" i="43" s="1"/>
  <c r="J21" i="43"/>
  <c r="P14" i="23"/>
  <c r="G20" i="43"/>
  <c r="F19" i="43" s="1"/>
  <c r="G19" i="43" s="1"/>
  <c r="J19" i="43"/>
  <c r="N14" i="23" s="1"/>
  <c r="F17" i="43"/>
  <c r="G17" i="43" s="1"/>
  <c r="L16" i="43"/>
  <c r="X30" i="23" s="1"/>
  <c r="H14" i="43"/>
  <c r="L13" i="43"/>
  <c r="E13" i="43"/>
  <c r="F13" i="43" s="1"/>
  <c r="H9" i="43"/>
  <c r="C9" i="43"/>
  <c r="K8" i="43"/>
  <c r="H8" i="43"/>
  <c r="C8" i="43"/>
  <c r="K7" i="43"/>
  <c r="H7" i="43"/>
  <c r="C7" i="43"/>
  <c r="J6" i="43"/>
  <c r="F117" i="1"/>
  <c r="F111" i="1"/>
  <c r="F110" i="1"/>
  <c r="F102" i="1"/>
  <c r="G96" i="1" s="1"/>
  <c r="F100" i="1"/>
  <c r="G100" i="1" s="1"/>
  <c r="F99" i="1"/>
  <c r="K97" i="1"/>
  <c r="L97" i="1" s="1"/>
  <c r="K96" i="1"/>
  <c r="L95" i="1"/>
  <c r="N90" i="1"/>
  <c r="N57" i="23" s="1"/>
  <c r="H87" i="1"/>
  <c r="J88" i="1" s="1"/>
  <c r="L86" i="1"/>
  <c r="J86" i="1"/>
  <c r="I86" i="1"/>
  <c r="K86" i="1" s="1"/>
  <c r="L85" i="1"/>
  <c r="J85" i="1"/>
  <c r="I85" i="1"/>
  <c r="K85" i="1" s="1"/>
  <c r="L84" i="1"/>
  <c r="J84" i="1"/>
  <c r="I84" i="1"/>
  <c r="K84" i="1" s="1"/>
  <c r="L83" i="1"/>
  <c r="J83" i="1"/>
  <c r="I83" i="1"/>
  <c r="K83" i="1" s="1"/>
  <c r="L82" i="1"/>
  <c r="J82" i="1"/>
  <c r="I82" i="1"/>
  <c r="K82" i="1" s="1"/>
  <c r="L81" i="1"/>
  <c r="J81" i="1"/>
  <c r="I81" i="1"/>
  <c r="K81" i="1" s="1"/>
  <c r="L80" i="1"/>
  <c r="J80" i="1"/>
  <c r="I80" i="1"/>
  <c r="K80" i="1" s="1"/>
  <c r="L79" i="1"/>
  <c r="J79" i="1"/>
  <c r="I79" i="1"/>
  <c r="K79" i="1" s="1"/>
  <c r="L78" i="1"/>
  <c r="J78" i="1"/>
  <c r="I78" i="1"/>
  <c r="K78" i="1" s="1"/>
  <c r="L77" i="1"/>
  <c r="J77" i="1"/>
  <c r="I77" i="1"/>
  <c r="K77" i="1" s="1"/>
  <c r="L76" i="1"/>
  <c r="J76" i="1"/>
  <c r="I76" i="1"/>
  <c r="K76" i="1" s="1"/>
  <c r="L75" i="1"/>
  <c r="J75" i="1"/>
  <c r="I75" i="1"/>
  <c r="K75" i="1" s="1"/>
  <c r="L74" i="1"/>
  <c r="J74" i="1"/>
  <c r="I74" i="1"/>
  <c r="K74" i="1" s="1"/>
  <c r="L73" i="1"/>
  <c r="J73" i="1"/>
  <c r="I73" i="1"/>
  <c r="K73" i="1" s="1"/>
  <c r="L72" i="1"/>
  <c r="J72" i="1"/>
  <c r="I72" i="1"/>
  <c r="K72" i="1" s="1"/>
  <c r="H66" i="1"/>
  <c r="J67" i="1" s="1"/>
  <c r="L65" i="1"/>
  <c r="J65" i="1"/>
  <c r="I65" i="1"/>
  <c r="K65" i="1" s="1"/>
  <c r="L64" i="1"/>
  <c r="J64" i="1"/>
  <c r="I64" i="1"/>
  <c r="K64" i="1" s="1"/>
  <c r="L63" i="1"/>
  <c r="J63" i="1"/>
  <c r="I63" i="1"/>
  <c r="K63" i="1" s="1"/>
  <c r="L62" i="1"/>
  <c r="J62" i="1"/>
  <c r="I62" i="1"/>
  <c r="K62" i="1" s="1"/>
  <c r="L61" i="1"/>
  <c r="J61" i="1"/>
  <c r="I61" i="1"/>
  <c r="K61" i="1" s="1"/>
  <c r="L60" i="1"/>
  <c r="J60" i="1"/>
  <c r="I60" i="1"/>
  <c r="K60" i="1" s="1"/>
  <c r="L59" i="1"/>
  <c r="J59" i="1"/>
  <c r="I59" i="1"/>
  <c r="K59" i="1" s="1"/>
  <c r="L58" i="1"/>
  <c r="J58" i="1"/>
  <c r="I58" i="1"/>
  <c r="K58" i="1" s="1"/>
  <c r="L57" i="1"/>
  <c r="J57" i="1"/>
  <c r="I57" i="1"/>
  <c r="K57" i="1" s="1"/>
  <c r="L56" i="1"/>
  <c r="J56" i="1"/>
  <c r="I56" i="1"/>
  <c r="K56" i="1" s="1"/>
  <c r="X55" i="1"/>
  <c r="L55" i="1"/>
  <c r="J55" i="1"/>
  <c r="I55" i="1"/>
  <c r="K55" i="1" s="1"/>
  <c r="X54" i="1"/>
  <c r="L54" i="1"/>
  <c r="J54" i="1"/>
  <c r="I54" i="1"/>
  <c r="K54" i="1" s="1"/>
  <c r="L53" i="1"/>
  <c r="J53" i="1"/>
  <c r="I53" i="1"/>
  <c r="K53" i="1" s="1"/>
  <c r="L52" i="1"/>
  <c r="J52" i="1"/>
  <c r="I52" i="1"/>
  <c r="K52" i="1" s="1"/>
  <c r="L51" i="1"/>
  <c r="J51" i="1"/>
  <c r="I51" i="1"/>
  <c r="K51" i="1" s="1"/>
  <c r="L50" i="1"/>
  <c r="J50" i="1"/>
  <c r="I50" i="1"/>
  <c r="K50" i="1" s="1"/>
  <c r="L49" i="1"/>
  <c r="J49" i="1"/>
  <c r="I49" i="1"/>
  <c r="K49" i="1" s="1"/>
  <c r="L48" i="1"/>
  <c r="J48" i="1"/>
  <c r="I48" i="1"/>
  <c r="K48" i="1" s="1"/>
  <c r="L47" i="1"/>
  <c r="J47" i="1"/>
  <c r="I47" i="1"/>
  <c r="K47" i="1" s="1"/>
  <c r="L46" i="1"/>
  <c r="J46" i="1"/>
  <c r="I46" i="1"/>
  <c r="K46" i="1" s="1"/>
  <c r="L45" i="1"/>
  <c r="J45" i="1"/>
  <c r="I45" i="1"/>
  <c r="K45" i="1" s="1"/>
  <c r="L44" i="1"/>
  <c r="J44" i="1"/>
  <c r="I44" i="1"/>
  <c r="K44" i="1" s="1"/>
  <c r="R43" i="1"/>
  <c r="L43" i="1"/>
  <c r="J43" i="1"/>
  <c r="I43" i="1"/>
  <c r="K43" i="1" s="1"/>
  <c r="R42" i="1"/>
  <c r="L42" i="1"/>
  <c r="J42" i="1"/>
  <c r="I42" i="1"/>
  <c r="K42" i="1" s="1"/>
  <c r="I36" i="1"/>
  <c r="I34" i="1"/>
  <c r="G30" i="1"/>
  <c r="F27" i="1"/>
  <c r="J24" i="1"/>
  <c r="X13" i="23" s="1"/>
  <c r="F24" i="1"/>
  <c r="J23" i="1"/>
  <c r="W51" i="1" s="1"/>
  <c r="X51" i="1" s="1"/>
  <c r="J22" i="1"/>
  <c r="W48" i="1" s="1"/>
  <c r="X48" i="1" s="1"/>
  <c r="J21" i="1"/>
  <c r="G20" i="1"/>
  <c r="F19" i="1" s="1"/>
  <c r="G19" i="1" s="1"/>
  <c r="D20" i="1"/>
  <c r="D21" i="1" s="1"/>
  <c r="J20" i="1" s="1"/>
  <c r="J19" i="1"/>
  <c r="F17" i="1"/>
  <c r="G17" i="1" s="1"/>
  <c r="H14" i="1"/>
  <c r="L13" i="1"/>
  <c r="S67" i="1" s="1"/>
  <c r="E13" i="1"/>
  <c r="F13" i="1" s="1"/>
  <c r="K9" i="1"/>
  <c r="K9" i="44" s="1"/>
  <c r="J6" i="1"/>
  <c r="E67" i="23"/>
  <c r="E66" i="23"/>
  <c r="E65" i="23"/>
  <c r="E64" i="23"/>
  <c r="E63" i="23"/>
  <c r="E62" i="23"/>
  <c r="E61" i="23"/>
  <c r="E60" i="23"/>
  <c r="E59" i="23"/>
  <c r="C59" i="23"/>
  <c r="E58" i="23"/>
  <c r="C58" i="23"/>
  <c r="G55" i="23"/>
  <c r="E55" i="23"/>
  <c r="C55" i="23"/>
  <c r="G54" i="23"/>
  <c r="E54" i="23"/>
  <c r="C54" i="23"/>
  <c r="G53" i="23"/>
  <c r="E53" i="23"/>
  <c r="C53" i="23"/>
  <c r="G52" i="23"/>
  <c r="E52" i="23"/>
  <c r="C52" i="23"/>
  <c r="G51" i="23"/>
  <c r="E51" i="23"/>
  <c r="C51" i="23"/>
  <c r="G50" i="23"/>
  <c r="E50" i="23"/>
  <c r="C50" i="23"/>
  <c r="G49" i="23"/>
  <c r="E49" i="23"/>
  <c r="C49" i="23"/>
  <c r="G48" i="23"/>
  <c r="E48" i="23"/>
  <c r="C48" i="23"/>
  <c r="G47" i="23"/>
  <c r="E47" i="23"/>
  <c r="C47" i="23"/>
  <c r="G46" i="23"/>
  <c r="E46" i="23"/>
  <c r="C46" i="23"/>
  <c r="P22" i="23"/>
  <c r="P21" i="23"/>
  <c r="P20" i="23"/>
  <c r="P19" i="23"/>
  <c r="P17" i="23"/>
  <c r="F10" i="23"/>
  <c r="C10" i="23"/>
  <c r="J9" i="23"/>
  <c r="F9" i="23"/>
  <c r="C9" i="23"/>
  <c r="J8" i="23"/>
  <c r="F8" i="23"/>
  <c r="C8" i="23"/>
  <c r="I7" i="23"/>
  <c r="F7" i="23"/>
  <c r="C7" i="23"/>
  <c r="H34" i="1" l="1"/>
  <c r="H35" i="44"/>
  <c r="H35" i="51"/>
  <c r="H37" i="43"/>
  <c r="N89" i="1"/>
  <c r="N56" i="23" s="1"/>
  <c r="T65" i="46"/>
  <c r="K109" i="46"/>
  <c r="K113" i="49"/>
  <c r="K112" i="49"/>
  <c r="K113" i="44"/>
  <c r="K112" i="44"/>
  <c r="F60" i="23" s="1"/>
  <c r="U64" i="47"/>
  <c r="K109" i="47"/>
  <c r="T67" i="48"/>
  <c r="K109" i="48"/>
  <c r="L24" i="51"/>
  <c r="Y21" i="23" s="1"/>
  <c r="K109" i="51"/>
  <c r="C60" i="23"/>
  <c r="C64" i="23"/>
  <c r="U63" i="43"/>
  <c r="K109" i="43"/>
  <c r="T67" i="50"/>
  <c r="K109" i="50"/>
  <c r="T62" i="45"/>
  <c r="K109" i="45"/>
  <c r="V21" i="23"/>
  <c r="R17" i="23"/>
  <c r="N21" i="23"/>
  <c r="R18" i="23"/>
  <c r="W45" i="48"/>
  <c r="X45" i="48" s="1"/>
  <c r="R22" i="23"/>
  <c r="N20" i="23"/>
  <c r="W30" i="45"/>
  <c r="X30" i="45" s="1"/>
  <c r="W33" i="45"/>
  <c r="X33" i="45" s="1"/>
  <c r="W32" i="45"/>
  <c r="X32" i="45" s="1"/>
  <c r="N16" i="23"/>
  <c r="W37" i="45"/>
  <c r="X37" i="45" s="1"/>
  <c r="L96" i="46"/>
  <c r="L98" i="46" s="1"/>
  <c r="L99" i="46" s="1"/>
  <c r="K100" i="46" s="1"/>
  <c r="H55" i="23" s="1"/>
  <c r="W31" i="45"/>
  <c r="X31" i="45" s="1"/>
  <c r="W39" i="45"/>
  <c r="X39" i="45" s="1"/>
  <c r="N42" i="42"/>
  <c r="P39" i="42" s="1"/>
  <c r="W36" i="45"/>
  <c r="X36" i="45" s="1"/>
  <c r="H37" i="44"/>
  <c r="T14" i="23"/>
  <c r="N15" i="23"/>
  <c r="V18" i="23"/>
  <c r="W35" i="49"/>
  <c r="X35" i="49" s="1"/>
  <c r="T66" i="48"/>
  <c r="I37" i="48"/>
  <c r="V67" i="48"/>
  <c r="V13" i="23"/>
  <c r="L96" i="50"/>
  <c r="L98" i="50" s="1"/>
  <c r="L99" i="50" s="1"/>
  <c r="K100" i="50" s="1"/>
  <c r="H53" i="23" s="1"/>
  <c r="V64" i="48"/>
  <c r="V62" i="48"/>
  <c r="L24" i="48"/>
  <c r="Y18" i="23" s="1"/>
  <c r="W21" i="49"/>
  <c r="T20" i="23"/>
  <c r="K87" i="43"/>
  <c r="N18" i="23"/>
  <c r="W48" i="43"/>
  <c r="X48" i="43" s="1"/>
  <c r="V61" i="48"/>
  <c r="V63" i="48"/>
  <c r="S65" i="48"/>
  <c r="T65" i="50"/>
  <c r="V65" i="48"/>
  <c r="T63" i="50"/>
  <c r="G35" i="44"/>
  <c r="F48" i="23"/>
  <c r="S67" i="48"/>
  <c r="I37" i="51"/>
  <c r="F54" i="23"/>
  <c r="R20" i="23"/>
  <c r="J66" i="43"/>
  <c r="K66" i="48"/>
  <c r="W47" i="48"/>
  <c r="X47" i="48" s="1"/>
  <c r="K66" i="51"/>
  <c r="D64" i="42"/>
  <c r="J66" i="48"/>
  <c r="J66" i="51"/>
  <c r="M19" i="42"/>
  <c r="J87" i="43"/>
  <c r="K66" i="44"/>
  <c r="W50" i="44"/>
  <c r="X50" i="44" s="1"/>
  <c r="K87" i="44"/>
  <c r="J66" i="45"/>
  <c r="U67" i="45"/>
  <c r="K66" i="47"/>
  <c r="K87" i="48"/>
  <c r="K66" i="49"/>
  <c r="T61" i="50"/>
  <c r="V63" i="50"/>
  <c r="K87" i="51"/>
  <c r="L96" i="51"/>
  <c r="L98" i="51" s="1"/>
  <c r="L99" i="51" s="1"/>
  <c r="K100" i="51" s="1"/>
  <c r="H54" i="23" s="1"/>
  <c r="K66" i="46"/>
  <c r="V17" i="23"/>
  <c r="J66" i="44"/>
  <c r="J87" i="44"/>
  <c r="U63" i="45"/>
  <c r="K87" i="45"/>
  <c r="J66" i="47"/>
  <c r="J87" i="48"/>
  <c r="J66" i="49"/>
  <c r="K66" i="50"/>
  <c r="U66" i="50"/>
  <c r="W32" i="51"/>
  <c r="X32" i="51" s="1"/>
  <c r="J87" i="51"/>
  <c r="J66" i="46"/>
  <c r="B44" i="42"/>
  <c r="E26" i="54"/>
  <c r="D32" i="54" s="1"/>
  <c r="V22" i="23"/>
  <c r="I35" i="43"/>
  <c r="U61" i="43"/>
  <c r="J87" i="45"/>
  <c r="S61" i="48"/>
  <c r="K87" i="49"/>
  <c r="J66" i="50"/>
  <c r="K87" i="50"/>
  <c r="K87" i="46"/>
  <c r="K66" i="45"/>
  <c r="V63" i="47"/>
  <c r="K87" i="47"/>
  <c r="J87" i="49"/>
  <c r="W45" i="50"/>
  <c r="X45" i="50" s="1"/>
  <c r="J87" i="50"/>
  <c r="J87" i="46"/>
  <c r="G28" i="42"/>
  <c r="K66" i="43"/>
  <c r="J87" i="47"/>
  <c r="W35" i="50"/>
  <c r="X35" i="50" s="1"/>
  <c r="W43" i="50"/>
  <c r="X43" i="50" s="1"/>
  <c r="W30" i="51"/>
  <c r="X30" i="51" s="1"/>
  <c r="W31" i="51"/>
  <c r="X31" i="51" s="1"/>
  <c r="W39" i="51"/>
  <c r="X39" i="51" s="1"/>
  <c r="W45" i="46"/>
  <c r="X45" i="46" s="1"/>
  <c r="N17" i="23"/>
  <c r="V67" i="45"/>
  <c r="V19" i="23"/>
  <c r="W35" i="44"/>
  <c r="X35" i="44" s="1"/>
  <c r="I37" i="49"/>
  <c r="V65" i="46"/>
  <c r="J10" i="23"/>
  <c r="L22" i="43"/>
  <c r="H35" i="43"/>
  <c r="K14" i="45"/>
  <c r="L96" i="48"/>
  <c r="L98" i="48" s="1"/>
  <c r="L99" i="48" s="1"/>
  <c r="K100" i="48" s="1"/>
  <c r="H51" i="23" s="1"/>
  <c r="W37" i="49"/>
  <c r="X37" i="49" s="1"/>
  <c r="W36" i="44"/>
  <c r="X36" i="44" s="1"/>
  <c r="W53" i="47"/>
  <c r="X53" i="47" s="1"/>
  <c r="W34" i="51"/>
  <c r="X34" i="51" s="1"/>
  <c r="I37" i="46"/>
  <c r="W50" i="46"/>
  <c r="X50" i="46" s="1"/>
  <c r="T61" i="46"/>
  <c r="L23" i="49"/>
  <c r="W19" i="23" s="1"/>
  <c r="P16" i="23"/>
  <c r="D42" i="23"/>
  <c r="T21" i="23"/>
  <c r="G35" i="47"/>
  <c r="F52" i="23"/>
  <c r="W31" i="50"/>
  <c r="X31" i="50" s="1"/>
  <c r="F101" i="1"/>
  <c r="G97" i="1" s="1"/>
  <c r="F105" i="1" s="1"/>
  <c r="D46" i="23" s="1"/>
  <c r="N19" i="23"/>
  <c r="W21" i="43"/>
  <c r="O51" i="23"/>
  <c r="S51" i="23" s="1"/>
  <c r="W30" i="44"/>
  <c r="X30" i="44" s="1"/>
  <c r="W34" i="45"/>
  <c r="X34" i="45" s="1"/>
  <c r="U63" i="47"/>
  <c r="S62" i="48"/>
  <c r="S66" i="48"/>
  <c r="U62" i="50"/>
  <c r="W35" i="51"/>
  <c r="X35" i="51" s="1"/>
  <c r="T64" i="46"/>
  <c r="K87" i="1"/>
  <c r="H36" i="50"/>
  <c r="W18" i="50"/>
  <c r="W19" i="50"/>
  <c r="H37" i="50"/>
  <c r="H34" i="50"/>
  <c r="H35" i="50"/>
  <c r="D34" i="23"/>
  <c r="F34" i="23" s="1"/>
  <c r="H36" i="46"/>
  <c r="W19" i="46"/>
  <c r="W18" i="46"/>
  <c r="W21" i="46"/>
  <c r="H37" i="46"/>
  <c r="H35" i="46"/>
  <c r="H34" i="46"/>
  <c r="H72" i="23"/>
  <c r="V65" i="44"/>
  <c r="W42" i="44"/>
  <c r="X42" i="44" s="1"/>
  <c r="T63" i="44"/>
  <c r="H35" i="48"/>
  <c r="W19" i="48"/>
  <c r="W18" i="48"/>
  <c r="G35" i="48"/>
  <c r="H34" i="48"/>
  <c r="V66" i="49"/>
  <c r="V64" i="49"/>
  <c r="V61" i="49"/>
  <c r="U66" i="49"/>
  <c r="T64" i="49"/>
  <c r="T61" i="49"/>
  <c r="V62" i="49"/>
  <c r="K14" i="49"/>
  <c r="T67" i="49"/>
  <c r="T63" i="49"/>
  <c r="P15" i="23"/>
  <c r="K14" i="44"/>
  <c r="T62" i="44"/>
  <c r="G43" i="23"/>
  <c r="U65" i="43"/>
  <c r="U66" i="43"/>
  <c r="V66" i="47"/>
  <c r="T65" i="49"/>
  <c r="E69" i="23"/>
  <c r="D74" i="23"/>
  <c r="W34" i="44"/>
  <c r="X34" i="44" s="1"/>
  <c r="W39" i="44"/>
  <c r="X39" i="44" s="1"/>
  <c r="T64" i="44"/>
  <c r="S66" i="44"/>
  <c r="W49" i="45"/>
  <c r="X49" i="45" s="1"/>
  <c r="L22" i="45"/>
  <c r="U16" i="23" s="1"/>
  <c r="W48" i="45"/>
  <c r="X48" i="45" s="1"/>
  <c r="L24" i="49"/>
  <c r="Y19" i="23" s="1"/>
  <c r="V63" i="49"/>
  <c r="V65" i="49"/>
  <c r="V62" i="50"/>
  <c r="U61" i="46"/>
  <c r="W52" i="44"/>
  <c r="X52" i="44" s="1"/>
  <c r="I35" i="1"/>
  <c r="W49" i="48"/>
  <c r="X49" i="48" s="1"/>
  <c r="W48" i="48"/>
  <c r="X48" i="48" s="1"/>
  <c r="U67" i="49"/>
  <c r="L23" i="50"/>
  <c r="W20" i="23" s="1"/>
  <c r="W50" i="50"/>
  <c r="X50" i="50" s="1"/>
  <c r="R15" i="23"/>
  <c r="G36" i="43"/>
  <c r="V67" i="44"/>
  <c r="U66" i="47"/>
  <c r="V62" i="47"/>
  <c r="U67" i="47"/>
  <c r="U62" i="47"/>
  <c r="L24" i="47"/>
  <c r="Y17" i="23" s="1"/>
  <c r="V65" i="47"/>
  <c r="V61" i="47"/>
  <c r="U64" i="43"/>
  <c r="I37" i="50"/>
  <c r="V66" i="51"/>
  <c r="V65" i="51"/>
  <c r="V63" i="51"/>
  <c r="K14" i="51"/>
  <c r="T67" i="51"/>
  <c r="V64" i="51"/>
  <c r="V62" i="51"/>
  <c r="T13" i="23"/>
  <c r="L96" i="1"/>
  <c r="L98" i="1" s="1"/>
  <c r="L99" i="1" s="1"/>
  <c r="K100" i="1" s="1"/>
  <c r="H46" i="23" s="1"/>
  <c r="K14" i="43"/>
  <c r="W30" i="43"/>
  <c r="X30" i="43" s="1"/>
  <c r="W20" i="44"/>
  <c r="W18" i="44"/>
  <c r="W19" i="44"/>
  <c r="L24" i="44"/>
  <c r="Y15" i="23" s="1"/>
  <c r="I35" i="44"/>
  <c r="W40" i="44"/>
  <c r="X40" i="44" s="1"/>
  <c r="S63" i="44"/>
  <c r="V64" i="44"/>
  <c r="T66" i="44"/>
  <c r="U61" i="47"/>
  <c r="V64" i="47"/>
  <c r="T67" i="47"/>
  <c r="W18" i="49"/>
  <c r="W19" i="49"/>
  <c r="H37" i="49"/>
  <c r="W47" i="49"/>
  <c r="X47" i="49" s="1"/>
  <c r="W45" i="49"/>
  <c r="X45" i="49" s="1"/>
  <c r="L96" i="49"/>
  <c r="L98" i="49" s="1"/>
  <c r="L99" i="49" s="1"/>
  <c r="K100" i="49" s="1"/>
  <c r="H52" i="23" s="1"/>
  <c r="V66" i="50"/>
  <c r="U64" i="50"/>
  <c r="V65" i="50"/>
  <c r="T64" i="50"/>
  <c r="V61" i="50"/>
  <c r="K14" i="50"/>
  <c r="U65" i="50"/>
  <c r="U61" i="50"/>
  <c r="S67" i="50"/>
  <c r="U63" i="50"/>
  <c r="V64" i="50"/>
  <c r="D67" i="23"/>
  <c r="V66" i="46"/>
  <c r="U63" i="46"/>
  <c r="U66" i="46"/>
  <c r="V64" i="46"/>
  <c r="T63" i="46"/>
  <c r="K14" i="46"/>
  <c r="U64" i="46"/>
  <c r="S67" i="46"/>
  <c r="U62" i="46"/>
  <c r="V63" i="46"/>
  <c r="T62" i="46"/>
  <c r="V61" i="46"/>
  <c r="U65" i="46"/>
  <c r="S67" i="49"/>
  <c r="V63" i="44"/>
  <c r="S61" i="44"/>
  <c r="L96" i="45"/>
  <c r="L98" i="45" s="1"/>
  <c r="L99" i="45" s="1"/>
  <c r="K100" i="45" s="1"/>
  <c r="H49" i="23" s="1"/>
  <c r="T62" i="49"/>
  <c r="W49" i="44"/>
  <c r="X49" i="44" s="1"/>
  <c r="V62" i="44"/>
  <c r="W18" i="45"/>
  <c r="W19" i="45"/>
  <c r="H35" i="45"/>
  <c r="W48" i="47"/>
  <c r="X48" i="47" s="1"/>
  <c r="L22" i="47"/>
  <c r="U17" i="23" s="1"/>
  <c r="W49" i="47"/>
  <c r="X49" i="47" s="1"/>
  <c r="U65" i="47"/>
  <c r="W50" i="48"/>
  <c r="X50" i="48" s="1"/>
  <c r="L23" i="48"/>
  <c r="W18" i="23" s="1"/>
  <c r="H36" i="48"/>
  <c r="V61" i="51"/>
  <c r="S67" i="51"/>
  <c r="V62" i="46"/>
  <c r="G5" i="42"/>
  <c r="F5" i="42"/>
  <c r="H5" i="42" s="1"/>
  <c r="E5" i="42" s="1"/>
  <c r="U66" i="44"/>
  <c r="F55" i="23"/>
  <c r="D33" i="23"/>
  <c r="F33" i="23" s="1"/>
  <c r="S62" i="44"/>
  <c r="L96" i="43"/>
  <c r="L98" i="43" s="1"/>
  <c r="L99" i="43" s="1"/>
  <c r="L22" i="48"/>
  <c r="U18" i="23" s="1"/>
  <c r="T15" i="23"/>
  <c r="V20" i="23"/>
  <c r="I37" i="1"/>
  <c r="L22" i="44"/>
  <c r="U15" i="23" s="1"/>
  <c r="T61" i="44"/>
  <c r="R14" i="23"/>
  <c r="W43" i="43"/>
  <c r="X43" i="43" s="1"/>
  <c r="W35" i="43"/>
  <c r="X35" i="43" s="1"/>
  <c r="T64" i="43"/>
  <c r="D47" i="23"/>
  <c r="D72" i="23" s="1"/>
  <c r="W37" i="44"/>
  <c r="X37" i="44" s="1"/>
  <c r="W45" i="44"/>
  <c r="X45" i="44" s="1"/>
  <c r="W47" i="44"/>
  <c r="X47" i="44" s="1"/>
  <c r="W53" i="44"/>
  <c r="X53" i="44" s="1"/>
  <c r="V61" i="44"/>
  <c r="S65" i="44"/>
  <c r="U62" i="45"/>
  <c r="T63" i="45"/>
  <c r="W50" i="47"/>
  <c r="X50" i="47" s="1"/>
  <c r="I37" i="47"/>
  <c r="W31" i="49"/>
  <c r="X31" i="49" s="1"/>
  <c r="W30" i="49"/>
  <c r="X30" i="49" s="1"/>
  <c r="W39" i="49"/>
  <c r="X39" i="49" s="1"/>
  <c r="W33" i="49"/>
  <c r="X33" i="49" s="1"/>
  <c r="W34" i="49"/>
  <c r="X34" i="49" s="1"/>
  <c r="L24" i="50"/>
  <c r="Y20" i="23" s="1"/>
  <c r="T62" i="50"/>
  <c r="W18" i="51"/>
  <c r="W19" i="51"/>
  <c r="H37" i="51"/>
  <c r="U67" i="51"/>
  <c r="W30" i="46"/>
  <c r="X30" i="46" s="1"/>
  <c r="G34" i="46"/>
  <c r="L24" i="46"/>
  <c r="Y22" i="23" s="1"/>
  <c r="M20" i="42"/>
  <c r="M21" i="42"/>
  <c r="C104" i="42"/>
  <c r="C105" i="42" s="1"/>
  <c r="C97" i="42" s="1"/>
  <c r="E98" i="42"/>
  <c r="E99" i="42"/>
  <c r="W40" i="46"/>
  <c r="X40" i="46" s="1"/>
  <c r="L96" i="44"/>
  <c r="L98" i="44" s="1"/>
  <c r="L99" i="44" s="1"/>
  <c r="K100" i="44" s="1"/>
  <c r="H48" i="23" s="1"/>
  <c r="S63" i="48"/>
  <c r="W50" i="49"/>
  <c r="X50" i="49" s="1"/>
  <c r="W40" i="50"/>
  <c r="X40" i="50" s="1"/>
  <c r="W33" i="51"/>
  <c r="X33" i="51" s="1"/>
  <c r="W50" i="51"/>
  <c r="X50" i="51" s="1"/>
  <c r="W53" i="46"/>
  <c r="X53" i="46" s="1"/>
  <c r="W53" i="50"/>
  <c r="X53" i="50" s="1"/>
  <c r="W41" i="46"/>
  <c r="X41" i="46" s="1"/>
  <c r="W21" i="47"/>
  <c r="W18" i="47"/>
  <c r="W19" i="47"/>
  <c r="W41" i="50"/>
  <c r="X41" i="50" s="1"/>
  <c r="L22" i="51"/>
  <c r="U21" i="23" s="1"/>
  <c r="D99" i="42"/>
  <c r="C30" i="54"/>
  <c r="W45" i="47"/>
  <c r="X45" i="47" s="1"/>
  <c r="W47" i="47"/>
  <c r="X47" i="47" s="1"/>
  <c r="L96" i="47"/>
  <c r="L98" i="47" s="1"/>
  <c r="L99" i="47" s="1"/>
  <c r="K100" i="47" s="1"/>
  <c r="H50" i="23" s="1"/>
  <c r="F51" i="23"/>
  <c r="H35" i="1"/>
  <c r="H36" i="1"/>
  <c r="H37" i="1"/>
  <c r="G115" i="1"/>
  <c r="F118" i="1" s="1"/>
  <c r="F46" i="23" s="1"/>
  <c r="R13" i="23"/>
  <c r="G34" i="43"/>
  <c r="W37" i="43"/>
  <c r="X37" i="43" s="1"/>
  <c r="G37" i="43"/>
  <c r="W19" i="43"/>
  <c r="W18" i="43"/>
  <c r="W38" i="43"/>
  <c r="X38" i="43" s="1"/>
  <c r="W20" i="43"/>
  <c r="W40" i="43"/>
  <c r="X40" i="43" s="1"/>
  <c r="W19" i="1"/>
  <c r="U64" i="1"/>
  <c r="S66" i="1"/>
  <c r="P18" i="23"/>
  <c r="W50" i="1"/>
  <c r="X50" i="1" s="1"/>
  <c r="T63" i="1"/>
  <c r="V64" i="1"/>
  <c r="F113" i="1"/>
  <c r="F114" i="1"/>
  <c r="I37" i="44"/>
  <c r="W51" i="44"/>
  <c r="X51" i="44" s="1"/>
  <c r="L23" i="44"/>
  <c r="W15" i="23" s="1"/>
  <c r="F74" i="23"/>
  <c r="F73" i="23"/>
  <c r="F70" i="23"/>
  <c r="T67" i="1"/>
  <c r="K109" i="1"/>
  <c r="V65" i="1"/>
  <c r="V66" i="1"/>
  <c r="S65" i="1"/>
  <c r="S64" i="1"/>
  <c r="S63" i="1"/>
  <c r="S62" i="1"/>
  <c r="S61" i="1"/>
  <c r="U66" i="1"/>
  <c r="T66" i="1"/>
  <c r="L24" i="1"/>
  <c r="Y13" i="23" s="1"/>
  <c r="O50" i="23" s="1"/>
  <c r="D30" i="54"/>
  <c r="E30" i="54" s="1"/>
  <c r="C24" i="54"/>
  <c r="C25" i="54" s="1"/>
  <c r="C27" i="54"/>
  <c r="E27" i="54" s="1"/>
  <c r="D33" i="54" s="1"/>
  <c r="E33" i="54" s="1"/>
  <c r="N13" i="23"/>
  <c r="V61" i="1"/>
  <c r="T64" i="1"/>
  <c r="D24" i="54"/>
  <c r="D25" i="54" s="1"/>
  <c r="D31" i="54"/>
  <c r="E31" i="54" s="1"/>
  <c r="D73" i="23"/>
  <c r="U63" i="1"/>
  <c r="U67" i="1"/>
  <c r="H37" i="45"/>
  <c r="G36" i="45"/>
  <c r="H34" i="45"/>
  <c r="G34" i="45"/>
  <c r="W21" i="45"/>
  <c r="G35" i="45"/>
  <c r="W20" i="45"/>
  <c r="G37" i="45"/>
  <c r="H69" i="23"/>
  <c r="H73" i="23"/>
  <c r="W20" i="1"/>
  <c r="L23" i="1"/>
  <c r="W13" i="23" s="1"/>
  <c r="T62" i="1"/>
  <c r="V63" i="1"/>
  <c r="V67" i="1"/>
  <c r="V61" i="43"/>
  <c r="F47" i="23"/>
  <c r="F69" i="23"/>
  <c r="D70" i="23"/>
  <c r="W37" i="1"/>
  <c r="X37" i="1" s="1"/>
  <c r="G36" i="1"/>
  <c r="G35" i="1"/>
  <c r="U61" i="1"/>
  <c r="H74" i="23"/>
  <c r="K14" i="1"/>
  <c r="W52" i="1"/>
  <c r="X52" i="1" s="1"/>
  <c r="P13" i="23"/>
  <c r="W43" i="1"/>
  <c r="X43" i="1" s="1"/>
  <c r="U62" i="1"/>
  <c r="T66" i="43"/>
  <c r="S65" i="43"/>
  <c r="S64" i="43"/>
  <c r="S63" i="43"/>
  <c r="S62" i="43"/>
  <c r="S61" i="43"/>
  <c r="V67" i="43"/>
  <c r="S66" i="43"/>
  <c r="U67" i="43"/>
  <c r="S67" i="43"/>
  <c r="T67" i="43"/>
  <c r="T65" i="43"/>
  <c r="V62" i="43"/>
  <c r="T61" i="43"/>
  <c r="L24" i="43"/>
  <c r="Y14" i="23" s="1"/>
  <c r="U62" i="43"/>
  <c r="V66" i="43"/>
  <c r="V63" i="43"/>
  <c r="T62" i="43"/>
  <c r="V64" i="43"/>
  <c r="T63" i="43"/>
  <c r="V65" i="43"/>
  <c r="W53" i="45"/>
  <c r="X53" i="45" s="1"/>
  <c r="W40" i="45"/>
  <c r="X40" i="45" s="1"/>
  <c r="W41" i="45"/>
  <c r="X41" i="45" s="1"/>
  <c r="W42" i="45"/>
  <c r="X42" i="45" s="1"/>
  <c r="W44" i="45"/>
  <c r="X44" i="45" s="1"/>
  <c r="H35" i="47"/>
  <c r="H36" i="47"/>
  <c r="H34" i="47"/>
  <c r="W20" i="47"/>
  <c r="H37" i="47"/>
  <c r="U65" i="1"/>
  <c r="L23" i="43"/>
  <c r="W14" i="23" s="1"/>
  <c r="I37" i="43"/>
  <c r="W50" i="43"/>
  <c r="X50" i="43" s="1"/>
  <c r="V14" i="23"/>
  <c r="W51" i="43"/>
  <c r="X51" i="43" s="1"/>
  <c r="W41" i="48"/>
  <c r="X41" i="48" s="1"/>
  <c r="W52" i="48"/>
  <c r="X52" i="48" s="1"/>
  <c r="W43" i="48"/>
  <c r="X43" i="48" s="1"/>
  <c r="W44" i="48"/>
  <c r="X44" i="48" s="1"/>
  <c r="W42" i="48"/>
  <c r="X42" i="48" s="1"/>
  <c r="W53" i="48"/>
  <c r="X53" i="48" s="1"/>
  <c r="H36" i="45"/>
  <c r="E74" i="23"/>
  <c r="W21" i="1"/>
  <c r="O52" i="23"/>
  <c r="G34" i="1"/>
  <c r="G37" i="1"/>
  <c r="K66" i="1"/>
  <c r="T61" i="1"/>
  <c r="L16" i="1" s="1"/>
  <c r="X29" i="23" s="1"/>
  <c r="X40" i="23" s="1"/>
  <c r="D37" i="23" s="1"/>
  <c r="V62" i="1"/>
  <c r="T65" i="1"/>
  <c r="J87" i="1"/>
  <c r="D69" i="23"/>
  <c r="J66" i="1"/>
  <c r="W45" i="45"/>
  <c r="X45" i="45" s="1"/>
  <c r="W46" i="45"/>
  <c r="X46" i="45" s="1"/>
  <c r="W47" i="45"/>
  <c r="X47" i="45" s="1"/>
  <c r="S62" i="45"/>
  <c r="W39" i="47"/>
  <c r="X39" i="47" s="1"/>
  <c r="W33" i="47"/>
  <c r="X33" i="47" s="1"/>
  <c r="W30" i="47"/>
  <c r="X30" i="47" s="1"/>
  <c r="W38" i="47"/>
  <c r="X38" i="47" s="1"/>
  <c r="G36" i="47"/>
  <c r="G34" i="47"/>
  <c r="W37" i="47"/>
  <c r="X37" i="47" s="1"/>
  <c r="W32" i="47"/>
  <c r="X32" i="47" s="1"/>
  <c r="W35" i="47"/>
  <c r="X35" i="47" s="1"/>
  <c r="W42" i="49"/>
  <c r="X42" i="49" s="1"/>
  <c r="W43" i="49"/>
  <c r="X43" i="49" s="1"/>
  <c r="W40" i="49"/>
  <c r="X40" i="49" s="1"/>
  <c r="W44" i="49"/>
  <c r="X44" i="49" s="1"/>
  <c r="W53" i="49"/>
  <c r="X53" i="49" s="1"/>
  <c r="J53" i="42"/>
  <c r="E121" i="42"/>
  <c r="E118" i="42"/>
  <c r="E114" i="42"/>
  <c r="E119" i="42"/>
  <c r="E122" i="42"/>
  <c r="E120" i="42"/>
  <c r="E72" i="23"/>
  <c r="E73" i="23"/>
  <c r="K9" i="46"/>
  <c r="K9" i="51"/>
  <c r="K9" i="48"/>
  <c r="K9" i="47"/>
  <c r="K9" i="45"/>
  <c r="K9" i="50"/>
  <c r="K9" i="49"/>
  <c r="K9" i="43"/>
  <c r="W31" i="47"/>
  <c r="X31" i="47" s="1"/>
  <c r="W36" i="47"/>
  <c r="X36" i="47" s="1"/>
  <c r="W48" i="50"/>
  <c r="X48" i="50" s="1"/>
  <c r="L22" i="50"/>
  <c r="U20" i="23" s="1"/>
  <c r="I35" i="50"/>
  <c r="H36" i="44"/>
  <c r="G36" i="44"/>
  <c r="H34" i="44"/>
  <c r="V65" i="45"/>
  <c r="V64" i="45"/>
  <c r="V63" i="45"/>
  <c r="V62" i="45"/>
  <c r="V61" i="45"/>
  <c r="S67" i="45"/>
  <c r="U65" i="45"/>
  <c r="T64" i="45"/>
  <c r="S63" i="45"/>
  <c r="V66" i="45"/>
  <c r="T65" i="45"/>
  <c r="S64" i="45"/>
  <c r="L24" i="45"/>
  <c r="Y16" i="23" s="1"/>
  <c r="U66" i="45"/>
  <c r="S65" i="45"/>
  <c r="S66" i="45"/>
  <c r="U61" i="45"/>
  <c r="S61" i="45"/>
  <c r="T66" i="45"/>
  <c r="G37" i="47"/>
  <c r="W39" i="48"/>
  <c r="X39" i="48" s="1"/>
  <c r="W33" i="48"/>
  <c r="X33" i="48" s="1"/>
  <c r="W30" i="48"/>
  <c r="X30" i="48" s="1"/>
  <c r="W37" i="48"/>
  <c r="X37" i="48" s="1"/>
  <c r="G34" i="48"/>
  <c r="W35" i="48"/>
  <c r="X35" i="48" s="1"/>
  <c r="W34" i="48"/>
  <c r="X34" i="48" s="1"/>
  <c r="G37" i="48"/>
  <c r="W21" i="48"/>
  <c r="W36" i="48"/>
  <c r="X36" i="48" s="1"/>
  <c r="W32" i="48"/>
  <c r="X32" i="48" s="1"/>
  <c r="G36" i="48"/>
  <c r="W52" i="49"/>
  <c r="X52" i="49" s="1"/>
  <c r="W18" i="1"/>
  <c r="H36" i="43"/>
  <c r="H34" i="43"/>
  <c r="W53" i="43"/>
  <c r="X53" i="43" s="1"/>
  <c r="U67" i="44"/>
  <c r="T67" i="44"/>
  <c r="S67" i="44"/>
  <c r="V66" i="44"/>
  <c r="U65" i="44"/>
  <c r="U64" i="44"/>
  <c r="U63" i="44"/>
  <c r="U62" i="44"/>
  <c r="U61" i="44"/>
  <c r="W21" i="44"/>
  <c r="G34" i="44"/>
  <c r="S64" i="44"/>
  <c r="T65" i="44"/>
  <c r="W50" i="45"/>
  <c r="X50" i="45" s="1"/>
  <c r="I37" i="45"/>
  <c r="W51" i="45"/>
  <c r="X51" i="45" s="1"/>
  <c r="L23" i="45"/>
  <c r="W16" i="23" s="1"/>
  <c r="T61" i="45"/>
  <c r="U64" i="45"/>
  <c r="T67" i="45"/>
  <c r="W31" i="48"/>
  <c r="X31" i="48" s="1"/>
  <c r="W47" i="51"/>
  <c r="X47" i="51" s="1"/>
  <c r="W46" i="51"/>
  <c r="X46" i="51" s="1"/>
  <c r="W45" i="51"/>
  <c r="X45" i="51" s="1"/>
  <c r="W36" i="46"/>
  <c r="X36" i="46" s="1"/>
  <c r="G35" i="46"/>
  <c r="W20" i="46"/>
  <c r="W38" i="46"/>
  <c r="X38" i="46" s="1"/>
  <c r="W34" i="46"/>
  <c r="X34" i="46" s="1"/>
  <c r="W32" i="46"/>
  <c r="X32" i="46" s="1"/>
  <c r="W37" i="46"/>
  <c r="X37" i="46" s="1"/>
  <c r="G36" i="46"/>
  <c r="W33" i="46"/>
  <c r="X33" i="46" s="1"/>
  <c r="W35" i="46"/>
  <c r="X35" i="46" s="1"/>
  <c r="W31" i="46"/>
  <c r="X31" i="46" s="1"/>
  <c r="W39" i="46"/>
  <c r="X39" i="46" s="1"/>
  <c r="G37" i="46"/>
  <c r="G37" i="44"/>
  <c r="I35" i="47"/>
  <c r="I35" i="49"/>
  <c r="W48" i="49"/>
  <c r="X48" i="49" s="1"/>
  <c r="W49" i="49"/>
  <c r="X49" i="49" s="1"/>
  <c r="L22" i="49"/>
  <c r="U19" i="23" s="1"/>
  <c r="W32" i="43"/>
  <c r="X32" i="43" s="1"/>
  <c r="W34" i="43"/>
  <c r="X34" i="43" s="1"/>
  <c r="W31" i="44"/>
  <c r="X31" i="44" s="1"/>
  <c r="I35" i="45"/>
  <c r="F49" i="23"/>
  <c r="W41" i="47"/>
  <c r="X41" i="47" s="1"/>
  <c r="W43" i="47"/>
  <c r="X43" i="47" s="1"/>
  <c r="W20" i="49"/>
  <c r="H34" i="49"/>
  <c r="H36" i="49"/>
  <c r="G34" i="49"/>
  <c r="G36" i="49"/>
  <c r="H35" i="49"/>
  <c r="G35" i="43"/>
  <c r="W32" i="44"/>
  <c r="X32" i="44" s="1"/>
  <c r="W44" i="47"/>
  <c r="X44" i="47" s="1"/>
  <c r="F50" i="23"/>
  <c r="W36" i="50"/>
  <c r="X36" i="50" s="1"/>
  <c r="G35" i="50"/>
  <c r="W20" i="50"/>
  <c r="W38" i="50"/>
  <c r="X38" i="50" s="1"/>
  <c r="W34" i="50"/>
  <c r="X34" i="50" s="1"/>
  <c r="W32" i="50"/>
  <c r="X32" i="50" s="1"/>
  <c r="W37" i="50"/>
  <c r="X37" i="50" s="1"/>
  <c r="G36" i="50"/>
  <c r="G37" i="50"/>
  <c r="W21" i="50"/>
  <c r="G34" i="50"/>
  <c r="W39" i="50"/>
  <c r="X39" i="50" s="1"/>
  <c r="S67" i="47"/>
  <c r="W42" i="51"/>
  <c r="X42" i="51" s="1"/>
  <c r="W43" i="51"/>
  <c r="X43" i="51" s="1"/>
  <c r="W40" i="51"/>
  <c r="X40" i="51" s="1"/>
  <c r="W48" i="46"/>
  <c r="X48" i="46" s="1"/>
  <c r="L22" i="46"/>
  <c r="U22" i="23" s="1"/>
  <c r="W49" i="46"/>
  <c r="X49" i="46" s="1"/>
  <c r="I35" i="46"/>
  <c r="W51" i="47"/>
  <c r="X51" i="47" s="1"/>
  <c r="S66" i="47"/>
  <c r="V67" i="47"/>
  <c r="I35" i="48"/>
  <c r="H37" i="48"/>
  <c r="G37" i="49"/>
  <c r="W53" i="51"/>
  <c r="X53" i="51" s="1"/>
  <c r="C122" i="42"/>
  <c r="C119" i="42"/>
  <c r="C121" i="42"/>
  <c r="C114" i="42"/>
  <c r="C120" i="42"/>
  <c r="C118" i="42"/>
  <c r="S61" i="47"/>
  <c r="S62" i="47"/>
  <c r="S63" i="47"/>
  <c r="S64" i="47"/>
  <c r="S65" i="47"/>
  <c r="T66" i="47"/>
  <c r="W20" i="48"/>
  <c r="W46" i="49"/>
  <c r="X46" i="49" s="1"/>
  <c r="D105" i="42"/>
  <c r="D97" i="42" s="1"/>
  <c r="D119" i="42"/>
  <c r="D121" i="42"/>
  <c r="D118" i="42"/>
  <c r="D120" i="42"/>
  <c r="K14" i="47"/>
  <c r="T61" i="47"/>
  <c r="T62" i="47"/>
  <c r="T63" i="47"/>
  <c r="T64" i="47"/>
  <c r="T65" i="47"/>
  <c r="V66" i="48"/>
  <c r="U65" i="48"/>
  <c r="U64" i="48"/>
  <c r="U63" i="48"/>
  <c r="U62" i="48"/>
  <c r="U61" i="48"/>
  <c r="U66" i="48"/>
  <c r="T65" i="48"/>
  <c r="T64" i="48"/>
  <c r="T63" i="48"/>
  <c r="T62" i="48"/>
  <c r="T61" i="48"/>
  <c r="K14" i="48"/>
  <c r="S64" i="48"/>
  <c r="U67" i="48"/>
  <c r="W20" i="51"/>
  <c r="H34" i="51"/>
  <c r="H36" i="51"/>
  <c r="G34" i="51"/>
  <c r="G36" i="51"/>
  <c r="W21" i="51"/>
  <c r="W41" i="51"/>
  <c r="X41" i="51" s="1"/>
  <c r="W44" i="51"/>
  <c r="X44" i="51" s="1"/>
  <c r="C99" i="42"/>
  <c r="C98" i="42"/>
  <c r="D114" i="42"/>
  <c r="W38" i="49"/>
  <c r="X38" i="49" s="1"/>
  <c r="S66" i="49"/>
  <c r="V67" i="49"/>
  <c r="W44" i="50"/>
  <c r="X44" i="50" s="1"/>
  <c r="U67" i="50"/>
  <c r="F53" i="23"/>
  <c r="G35" i="49"/>
  <c r="W36" i="49"/>
  <c r="X36" i="49" s="1"/>
  <c r="S61" i="49"/>
  <c r="S62" i="49"/>
  <c r="S63" i="49"/>
  <c r="S64" i="49"/>
  <c r="S65" i="49"/>
  <c r="T66" i="49"/>
  <c r="V67" i="50"/>
  <c r="W49" i="51"/>
  <c r="X49" i="51" s="1"/>
  <c r="E105" i="42"/>
  <c r="E97" i="42" s="1"/>
  <c r="W51" i="50"/>
  <c r="X51" i="50" s="1"/>
  <c r="S66" i="50"/>
  <c r="G37" i="51"/>
  <c r="U61" i="49"/>
  <c r="U62" i="49"/>
  <c r="U63" i="49"/>
  <c r="U64" i="49"/>
  <c r="U65" i="49"/>
  <c r="S61" i="50"/>
  <c r="S62" i="50"/>
  <c r="S63" i="50"/>
  <c r="S64" i="50"/>
  <c r="S65" i="50"/>
  <c r="T66" i="50"/>
  <c r="W48" i="51"/>
  <c r="X48" i="51" s="1"/>
  <c r="W46" i="46"/>
  <c r="X46" i="46" s="1"/>
  <c r="W38" i="51"/>
  <c r="X38" i="51" s="1"/>
  <c r="W51" i="51"/>
  <c r="X51" i="51" s="1"/>
  <c r="S66" i="51"/>
  <c r="V67" i="51"/>
  <c r="W44" i="46"/>
  <c r="X44" i="46" s="1"/>
  <c r="W52" i="46"/>
  <c r="X52" i="46" s="1"/>
  <c r="T67" i="46"/>
  <c r="G35" i="51"/>
  <c r="W36" i="51"/>
  <c r="X36" i="51" s="1"/>
  <c r="S61" i="51"/>
  <c r="S62" i="51"/>
  <c r="S63" i="51"/>
  <c r="S64" i="51"/>
  <c r="S65" i="51"/>
  <c r="T66" i="51"/>
  <c r="U67" i="46"/>
  <c r="T61" i="51"/>
  <c r="T62" i="51"/>
  <c r="T63" i="51"/>
  <c r="T64" i="51"/>
  <c r="T65" i="51"/>
  <c r="U66" i="51"/>
  <c r="W51" i="46"/>
  <c r="X51" i="46" s="1"/>
  <c r="S66" i="46"/>
  <c r="V67" i="46"/>
  <c r="U61" i="51"/>
  <c r="U62" i="51"/>
  <c r="U63" i="51"/>
  <c r="U64" i="51"/>
  <c r="U65" i="51"/>
  <c r="S61" i="46"/>
  <c r="S62" i="46"/>
  <c r="S63" i="46"/>
  <c r="S64" i="46"/>
  <c r="S65" i="46"/>
  <c r="T66" i="46"/>
  <c r="U14" i="23" l="1"/>
  <c r="L21" i="43"/>
  <c r="W47" i="43" s="1"/>
  <c r="X47" i="43" s="1"/>
  <c r="L22" i="1"/>
  <c r="W49" i="1" s="1"/>
  <c r="X49" i="1" s="1"/>
  <c r="K113" i="47"/>
  <c r="K112" i="47"/>
  <c r="F62" i="23" s="1"/>
  <c r="C62" i="23"/>
  <c r="K113" i="43"/>
  <c r="F59" i="23" s="1"/>
  <c r="K112" i="43"/>
  <c r="D59" i="23" s="1"/>
  <c r="K113" i="45"/>
  <c r="K112" i="45"/>
  <c r="F61" i="23" s="1"/>
  <c r="C61" i="23"/>
  <c r="K113" i="51"/>
  <c r="K112" i="51"/>
  <c r="F66" i="23" s="1"/>
  <c r="C66" i="23"/>
  <c r="K113" i="50"/>
  <c r="K112" i="50"/>
  <c r="F65" i="23" s="1"/>
  <c r="C65" i="23"/>
  <c r="K113" i="48"/>
  <c r="K112" i="48"/>
  <c r="F63" i="23" s="1"/>
  <c r="C63" i="23"/>
  <c r="K113" i="46"/>
  <c r="K112" i="46"/>
  <c r="F67" i="23" s="1"/>
  <c r="C67" i="23"/>
  <c r="E70" i="23"/>
  <c r="K100" i="43"/>
  <c r="H47" i="23" s="1"/>
  <c r="L25" i="44"/>
  <c r="O61" i="23" s="1"/>
  <c r="P61" i="23" s="1"/>
  <c r="Q61" i="23" s="1"/>
  <c r="O42" i="42"/>
  <c r="P42" i="42" s="1"/>
  <c r="O39" i="42" s="1"/>
  <c r="L25" i="51"/>
  <c r="O67" i="23" s="1"/>
  <c r="P67" i="23" s="1"/>
  <c r="Q67" i="23" s="1"/>
  <c r="D63" i="23"/>
  <c r="C28" i="46"/>
  <c r="L25" i="49"/>
  <c r="O65" i="23" s="1"/>
  <c r="P65" i="23" s="1"/>
  <c r="Q65" i="23" s="1"/>
  <c r="C28" i="47"/>
  <c r="L25" i="50"/>
  <c r="O66" i="23" s="1"/>
  <c r="P66" i="23" s="1"/>
  <c r="Q66" i="23" s="1"/>
  <c r="L25" i="47"/>
  <c r="O63" i="23" s="1"/>
  <c r="P63" i="23" s="1"/>
  <c r="Q63" i="23" s="1"/>
  <c r="L25" i="46"/>
  <c r="O68" i="23" s="1"/>
  <c r="P68" i="23" s="1"/>
  <c r="Q68" i="23" s="1"/>
  <c r="C28" i="50"/>
  <c r="C28" i="45"/>
  <c r="D60" i="23"/>
  <c r="Q51" i="23"/>
  <c r="R51" i="23" s="1"/>
  <c r="D71" i="23"/>
  <c r="O49" i="23"/>
  <c r="Q49" i="23" s="1"/>
  <c r="R49" i="23" s="1"/>
  <c r="C28" i="51"/>
  <c r="E113" i="42" a="1"/>
  <c r="E113" i="42" s="1"/>
  <c r="C28" i="1"/>
  <c r="L20" i="44"/>
  <c r="W43" i="44" s="1"/>
  <c r="X43" i="44" s="1"/>
  <c r="W22" i="51"/>
  <c r="L20" i="46"/>
  <c r="Q22" i="23" s="1"/>
  <c r="L20" i="50"/>
  <c r="Q20" i="23" s="1"/>
  <c r="L20" i="48"/>
  <c r="Q18" i="23" s="1"/>
  <c r="X56" i="51"/>
  <c r="D33" i="51" s="1"/>
  <c r="W38" i="23" s="1"/>
  <c r="W22" i="43"/>
  <c r="F6" i="42"/>
  <c r="I6" i="42" s="1"/>
  <c r="L21" i="44"/>
  <c r="C28" i="48"/>
  <c r="L25" i="45"/>
  <c r="O62" i="23" s="1"/>
  <c r="P62" i="23" s="1"/>
  <c r="Q62" i="23" s="1"/>
  <c r="O48" i="23"/>
  <c r="S48" i="23" s="1"/>
  <c r="F100" i="42"/>
  <c r="G100" i="42" s="1"/>
  <c r="E71" i="23"/>
  <c r="O46" i="23"/>
  <c r="X56" i="46"/>
  <c r="D33" i="46" s="1"/>
  <c r="W39" i="23" s="1"/>
  <c r="X56" i="49"/>
  <c r="D33" i="49" s="1"/>
  <c r="W36" i="23" s="1"/>
  <c r="W22" i="1"/>
  <c r="E125" i="42"/>
  <c r="E127" i="42"/>
  <c r="E124" i="42"/>
  <c r="E126" i="42"/>
  <c r="E128" i="42"/>
  <c r="Q50" i="23"/>
  <c r="R50" i="23" s="1"/>
  <c r="S50" i="23"/>
  <c r="F64" i="23"/>
  <c r="D64" i="23"/>
  <c r="F97" i="42"/>
  <c r="G97" i="42" s="1"/>
  <c r="D61" i="23"/>
  <c r="C28" i="49"/>
  <c r="L20" i="51"/>
  <c r="Q21" i="23" s="1"/>
  <c r="W22" i="48"/>
  <c r="W22" i="47"/>
  <c r="L21" i="45"/>
  <c r="S16" i="23" s="1"/>
  <c r="L21" i="50"/>
  <c r="X56" i="47"/>
  <c r="D33" i="47" s="1"/>
  <c r="W34" i="23" s="1"/>
  <c r="W22" i="46"/>
  <c r="W22" i="50"/>
  <c r="I24" i="23"/>
  <c r="K24" i="23" s="1"/>
  <c r="D62" i="23"/>
  <c r="D65" i="23"/>
  <c r="D113" i="42" a="1"/>
  <c r="D113" i="42" s="1"/>
  <c r="C128" i="42"/>
  <c r="C125" i="42"/>
  <c r="C126" i="42"/>
  <c r="C127" i="42"/>
  <c r="C124" i="42"/>
  <c r="L20" i="49"/>
  <c r="Q19" i="23" s="1"/>
  <c r="L21" i="46"/>
  <c r="S22" i="23" s="1"/>
  <c r="L20" i="43"/>
  <c r="W44" i="43" s="1"/>
  <c r="X44" i="43" s="1"/>
  <c r="L21" i="47"/>
  <c r="S17" i="23" s="1"/>
  <c r="C28" i="44"/>
  <c r="L20" i="45"/>
  <c r="L25" i="43"/>
  <c r="O60" i="23" s="1"/>
  <c r="D128" i="42"/>
  <c r="D125" i="42"/>
  <c r="D127" i="42"/>
  <c r="D126" i="42"/>
  <c r="D124" i="42"/>
  <c r="D66" i="23"/>
  <c r="L21" i="51"/>
  <c r="S21" i="23" s="1"/>
  <c r="X56" i="48"/>
  <c r="D33" i="48" s="1"/>
  <c r="W35" i="23" s="1"/>
  <c r="Q52" i="23"/>
  <c r="R52" i="23" s="1"/>
  <c r="S52" i="23"/>
  <c r="O33" i="23"/>
  <c r="L20" i="47"/>
  <c r="Q17" i="23" s="1"/>
  <c r="L21" i="49"/>
  <c r="S19" i="23" s="1"/>
  <c r="L25" i="48"/>
  <c r="O64" i="23" s="1"/>
  <c r="P64" i="23" s="1"/>
  <c r="Q64" i="23" s="1"/>
  <c r="L25" i="1"/>
  <c r="O59" i="23" s="1"/>
  <c r="P59" i="23" s="1"/>
  <c r="Q59" i="23" s="1"/>
  <c r="N88" i="1"/>
  <c r="N55" i="23" s="1"/>
  <c r="C113" i="42" a="1"/>
  <c r="C113" i="42" s="1"/>
  <c r="W22" i="49"/>
  <c r="L21" i="48"/>
  <c r="S18" i="23" s="1"/>
  <c r="W22" i="44"/>
  <c r="C28" i="43"/>
  <c r="W22" i="45"/>
  <c r="K113" i="1"/>
  <c r="F58" i="23" s="1"/>
  <c r="K112" i="1"/>
  <c r="D58" i="23" s="1"/>
  <c r="W45" i="43"/>
  <c r="X45" i="43" s="1"/>
  <c r="S20" i="23" l="1"/>
  <c r="W46" i="50"/>
  <c r="X46" i="50" s="1"/>
  <c r="I28" i="23"/>
  <c r="I27" i="23"/>
  <c r="F71" i="23"/>
  <c r="F72" i="23"/>
  <c r="Q16" i="23"/>
  <c r="W43" i="45"/>
  <c r="X43" i="45" s="1"/>
  <c r="V17" i="43"/>
  <c r="L19" i="43" s="1"/>
  <c r="W39" i="43" s="1"/>
  <c r="X39" i="43" s="1"/>
  <c r="V17" i="44"/>
  <c r="L19" i="44" s="1"/>
  <c r="W38" i="44" s="1"/>
  <c r="X38" i="44" s="1"/>
  <c r="V17" i="49"/>
  <c r="L19" i="49" s="1"/>
  <c r="O19" i="23" s="1"/>
  <c r="V17" i="48"/>
  <c r="L19" i="48" s="1"/>
  <c r="O18" i="23" s="1"/>
  <c r="H15" i="1"/>
  <c r="V17" i="1"/>
  <c r="L19" i="1" s="1"/>
  <c r="V17" i="51"/>
  <c r="L19" i="51" s="1"/>
  <c r="O21" i="23" s="1"/>
  <c r="V17" i="50"/>
  <c r="L19" i="50" s="1"/>
  <c r="V17" i="47"/>
  <c r="L19" i="47" s="1"/>
  <c r="O17" i="23" s="1"/>
  <c r="V17" i="46"/>
  <c r="L19" i="46" s="1"/>
  <c r="O22" i="23" s="1"/>
  <c r="V17" i="45"/>
  <c r="L19" i="45" s="1"/>
  <c r="P60" i="23"/>
  <c r="Q60" i="23" s="1"/>
  <c r="I30" i="23" s="1"/>
  <c r="K30" i="23" s="1"/>
  <c r="W41" i="43"/>
  <c r="X41" i="43" s="1"/>
  <c r="W42" i="43"/>
  <c r="X42" i="43" s="1"/>
  <c r="H15" i="48"/>
  <c r="H15" i="47"/>
  <c r="H15" i="46"/>
  <c r="H15" i="50"/>
  <c r="H15" i="51"/>
  <c r="H15" i="45"/>
  <c r="L21" i="1"/>
  <c r="S13" i="23" s="1"/>
  <c r="O45" i="23" s="1"/>
  <c r="S45" i="23" s="1"/>
  <c r="L20" i="1"/>
  <c r="W40" i="1" s="1"/>
  <c r="X40" i="1" s="1"/>
  <c r="U13" i="23"/>
  <c r="O47" i="23" s="1"/>
  <c r="S47" i="23" s="1"/>
  <c r="Q15" i="23"/>
  <c r="W41" i="44"/>
  <c r="X41" i="44" s="1"/>
  <c r="S15" i="23"/>
  <c r="W46" i="44"/>
  <c r="X46" i="44" s="1"/>
  <c r="S14" i="23"/>
  <c r="W46" i="43"/>
  <c r="X46" i="43" s="1"/>
  <c r="G72" i="23"/>
  <c r="G73" i="23"/>
  <c r="I73" i="23" s="1"/>
  <c r="J73" i="23" s="1"/>
  <c r="G74" i="23"/>
  <c r="I74" i="23" s="1"/>
  <c r="J74" i="23" s="1"/>
  <c r="G69" i="23"/>
  <c r="I69" i="23" s="1"/>
  <c r="J69" i="23" s="1"/>
  <c r="G71" i="23"/>
  <c r="H70" i="23"/>
  <c r="S49" i="23"/>
  <c r="Q48" i="23"/>
  <c r="R48" i="23" s="1"/>
  <c r="C115" i="42" a="1"/>
  <c r="C115" i="42" s="1"/>
  <c r="C96" i="42" s="1"/>
  <c r="F7" i="42"/>
  <c r="H7" i="42" s="1"/>
  <c r="E7" i="42" s="1"/>
  <c r="S46" i="23"/>
  <c r="Q46" i="23"/>
  <c r="R46" i="23" s="1"/>
  <c r="G42" i="23"/>
  <c r="H6" i="42"/>
  <c r="E6" i="42" s="1"/>
  <c r="W53" i="1"/>
  <c r="X53" i="1" s="1"/>
  <c r="W32" i="1"/>
  <c r="X32" i="1" s="1"/>
  <c r="G70" i="23"/>
  <c r="D115" i="42" a="1"/>
  <c r="D115" i="42" s="1"/>
  <c r="D96" i="42" s="1"/>
  <c r="H71" i="23"/>
  <c r="S33" i="23"/>
  <c r="Q33" i="23"/>
  <c r="R33" i="23" s="1"/>
  <c r="Q14" i="23"/>
  <c r="O37" i="23" s="1"/>
  <c r="W52" i="43"/>
  <c r="X52" i="43" s="1"/>
  <c r="D6" i="42"/>
  <c r="G6" i="42"/>
  <c r="E115" i="42" a="1"/>
  <c r="E115" i="42" s="1"/>
  <c r="E96" i="42" s="1"/>
  <c r="H15" i="44"/>
  <c r="H15" i="43"/>
  <c r="H15" i="49"/>
  <c r="T49" i="23" a="1"/>
  <c r="T50" i="23" a="1"/>
  <c r="T48" i="23" a="1"/>
  <c r="T52" i="23" a="1"/>
  <c r="T51" i="23" a="1"/>
  <c r="O20" i="23" l="1"/>
  <c r="W33" i="50"/>
  <c r="X33" i="50" s="1"/>
  <c r="X56" i="50" s="1"/>
  <c r="D33" i="50" s="1"/>
  <c r="W37" i="23" s="1"/>
  <c r="K28" i="23"/>
  <c r="W45" i="1"/>
  <c r="X45" i="1" s="1"/>
  <c r="W42" i="1"/>
  <c r="X42" i="1" s="1"/>
  <c r="W44" i="1"/>
  <c r="X44" i="1" s="1"/>
  <c r="W38" i="1"/>
  <c r="X38" i="1" s="1"/>
  <c r="W39" i="1"/>
  <c r="X39" i="1" s="1"/>
  <c r="I72" i="23"/>
  <c r="J72" i="23" s="1"/>
  <c r="K27" i="23"/>
  <c r="O41" i="23"/>
  <c r="S41" i="23" s="1"/>
  <c r="O16" i="23"/>
  <c r="W38" i="45"/>
  <c r="X38" i="45" s="1"/>
  <c r="X56" i="45" s="1"/>
  <c r="D33" i="45" s="1"/>
  <c r="W33" i="23" s="1"/>
  <c r="K29" i="23"/>
  <c r="W41" i="1"/>
  <c r="X41" i="1" s="1"/>
  <c r="W36" i="1"/>
  <c r="X36" i="1" s="1"/>
  <c r="W35" i="1"/>
  <c r="X35" i="1" s="1"/>
  <c r="W33" i="43"/>
  <c r="X33" i="43" s="1"/>
  <c r="W36" i="43"/>
  <c r="X36" i="43" s="1"/>
  <c r="W46" i="1"/>
  <c r="X46" i="1" s="1"/>
  <c r="Q47" i="23"/>
  <c r="R47" i="23" s="1"/>
  <c r="W47" i="1"/>
  <c r="X47" i="1" s="1"/>
  <c r="Q13" i="23"/>
  <c r="O36" i="23" s="1"/>
  <c r="Q45" i="23"/>
  <c r="R45" i="23" s="1"/>
  <c r="O15" i="23"/>
  <c r="W33" i="44"/>
  <c r="X33" i="44" s="1"/>
  <c r="X56" i="44" s="1"/>
  <c r="D33" i="44" s="1"/>
  <c r="W31" i="23" s="1"/>
  <c r="I70" i="23"/>
  <c r="J70" i="23" s="1"/>
  <c r="I71" i="23"/>
  <c r="J71" i="23" s="1"/>
  <c r="I7" i="42"/>
  <c r="G7" i="42" s="1"/>
  <c r="F8" i="42"/>
  <c r="F9" i="42" s="1"/>
  <c r="W31" i="1"/>
  <c r="X31" i="1" s="1"/>
  <c r="W30" i="1"/>
  <c r="X30" i="1" s="1"/>
  <c r="O39" i="23"/>
  <c r="S39" i="23" s="1"/>
  <c r="O38" i="23"/>
  <c r="W34" i="1"/>
  <c r="X34" i="1" s="1"/>
  <c r="W33" i="1"/>
  <c r="X33" i="1" s="1"/>
  <c r="O13" i="23"/>
  <c r="D43" i="23"/>
  <c r="O43" i="23"/>
  <c r="S43" i="23" s="1"/>
  <c r="O44" i="23"/>
  <c r="O26" i="23"/>
  <c r="T50" i="23"/>
  <c r="T49" i="23"/>
  <c r="T48" i="23"/>
  <c r="T52" i="23"/>
  <c r="T51" i="23"/>
  <c r="O14" i="23"/>
  <c r="O27" i="23" s="1"/>
  <c r="W31" i="43"/>
  <c r="X31" i="43" s="1"/>
  <c r="S37" i="23"/>
  <c r="Q37" i="23"/>
  <c r="R37" i="23" s="1"/>
  <c r="K74" i="23" a="1"/>
  <c r="K73" i="23" a="1"/>
  <c r="K70" i="23" a="1"/>
  <c r="T46" i="23" a="1"/>
  <c r="K69" i="23" a="1"/>
  <c r="K72" i="23" a="1"/>
  <c r="T47" i="23" a="1"/>
  <c r="K71" i="23" a="1"/>
  <c r="Q36" i="23" l="1"/>
  <c r="R36" i="23" s="1"/>
  <c r="S36" i="23"/>
  <c r="O40" i="23"/>
  <c r="S40" i="23" s="1"/>
  <c r="O42" i="23"/>
  <c r="O29" i="23"/>
  <c r="Q29" i="23" s="1"/>
  <c r="R29" i="23" s="1"/>
  <c r="O35" i="23"/>
  <c r="O34" i="23"/>
  <c r="S34" i="23" s="1"/>
  <c r="Q41" i="23"/>
  <c r="R41" i="23" s="1"/>
  <c r="X56" i="43"/>
  <c r="D33" i="43" s="1"/>
  <c r="W30" i="23" s="1"/>
  <c r="O31" i="23"/>
  <c r="S31" i="23" s="1"/>
  <c r="K71" i="23"/>
  <c r="E38" i="23" s="1"/>
  <c r="G38" i="23" s="1"/>
  <c r="K70" i="23"/>
  <c r="E37" i="23" s="1"/>
  <c r="G37" i="23" s="1"/>
  <c r="K74" i="23"/>
  <c r="K69" i="23"/>
  <c r="E36" i="23" s="1"/>
  <c r="G36" i="23" s="1"/>
  <c r="K72" i="23"/>
  <c r="K73" i="23"/>
  <c r="D7" i="42"/>
  <c r="I8" i="42"/>
  <c r="G8" i="42" s="1"/>
  <c r="H8" i="42"/>
  <c r="E8" i="42" s="1"/>
  <c r="O28" i="23"/>
  <c r="Q28" i="23" s="1"/>
  <c r="R28" i="23" s="1"/>
  <c r="O25" i="23"/>
  <c r="X56" i="1"/>
  <c r="D33" i="1" s="1"/>
  <c r="W29" i="23" s="1"/>
  <c r="O30" i="23"/>
  <c r="Q30" i="23" s="1"/>
  <c r="R30" i="23" s="1"/>
  <c r="Q39" i="23"/>
  <c r="R39" i="23" s="1"/>
  <c r="Q38" i="23"/>
  <c r="R38" i="23" s="1"/>
  <c r="S38" i="23"/>
  <c r="T46" i="23"/>
  <c r="T47" i="23"/>
  <c r="Q43" i="23"/>
  <c r="R43" i="23" s="1"/>
  <c r="Q26" i="23"/>
  <c r="R26" i="23" s="1"/>
  <c r="S26" i="23"/>
  <c r="Q44" i="23"/>
  <c r="R44" i="23" s="1"/>
  <c r="S44" i="23"/>
  <c r="G22" i="23"/>
  <c r="U51" i="23"/>
  <c r="K22" i="23" s="1"/>
  <c r="F10" i="42"/>
  <c r="H9" i="42"/>
  <c r="E9" i="42" s="1"/>
  <c r="I9" i="42"/>
  <c r="U52" i="23"/>
  <c r="K23" i="23" s="1"/>
  <c r="G23" i="23"/>
  <c r="G17" i="23"/>
  <c r="U48" i="23"/>
  <c r="K17" i="23" s="1"/>
  <c r="S27" i="23"/>
  <c r="Q27" i="23"/>
  <c r="R27" i="23" s="1"/>
  <c r="U49" i="23"/>
  <c r="K18" i="23" s="1"/>
  <c r="G18" i="23"/>
  <c r="G21" i="23"/>
  <c r="U50" i="23"/>
  <c r="K21" i="23" s="1"/>
  <c r="T45" i="23" a="1"/>
  <c r="T44" i="23" a="1"/>
  <c r="T43" i="23" a="1"/>
  <c r="Q40" i="23" l="1"/>
  <c r="R40" i="23" s="1"/>
  <c r="S29" i="23"/>
  <c r="S42" i="23"/>
  <c r="Q42" i="23"/>
  <c r="R42" i="23" s="1"/>
  <c r="Q35" i="23"/>
  <c r="R35" i="23" s="1"/>
  <c r="S35" i="23"/>
  <c r="Q34" i="23"/>
  <c r="R34" i="23" s="1"/>
  <c r="W40" i="23"/>
  <c r="D36" i="23" s="1"/>
  <c r="D38" i="23" s="1"/>
  <c r="Q31" i="23"/>
  <c r="R31" i="23" s="1"/>
  <c r="D8" i="42"/>
  <c r="S28" i="23"/>
  <c r="Q25" i="23"/>
  <c r="R25" i="23" s="1"/>
  <c r="S25" i="23"/>
  <c r="S30" i="23"/>
  <c r="G14" i="23"/>
  <c r="U47" i="23"/>
  <c r="K14" i="23" s="1"/>
  <c r="G13" i="23"/>
  <c r="U46" i="23"/>
  <c r="K13" i="23" s="1"/>
  <c r="K19" i="23"/>
  <c r="K25" i="23"/>
  <c r="T43" i="23"/>
  <c r="T45" i="23"/>
  <c r="T44" i="23"/>
  <c r="I22" i="23"/>
  <c r="H22" i="23"/>
  <c r="G9" i="42"/>
  <c r="D9" i="42"/>
  <c r="I18" i="23"/>
  <c r="H18" i="23"/>
  <c r="I17" i="23"/>
  <c r="H17" i="23"/>
  <c r="F11" i="42"/>
  <c r="I10" i="42"/>
  <c r="H10" i="42"/>
  <c r="E10" i="42" s="1"/>
  <c r="I21" i="23"/>
  <c r="H21" i="23"/>
  <c r="I23" i="23"/>
  <c r="H23" i="23"/>
  <c r="T26" i="23" a="1"/>
  <c r="T37" i="23" a="1"/>
  <c r="T27" i="23" a="1"/>
  <c r="T29" i="23" a="1"/>
  <c r="T39" i="23" a="1"/>
  <c r="T33" i="23" a="1"/>
  <c r="T25" i="23" a="1"/>
  <c r="T35" i="23" a="1"/>
  <c r="T31" i="23" a="1"/>
  <c r="T34" i="23" a="1"/>
  <c r="T41" i="23" a="1"/>
  <c r="T28" i="23" a="1"/>
  <c r="T42" i="23" a="1"/>
  <c r="T40" i="23" a="1"/>
  <c r="T36" i="23" a="1"/>
  <c r="T38" i="23" a="1"/>
  <c r="T30" i="23" a="1"/>
  <c r="T36" i="23" l="1"/>
  <c r="B20" i="23" s="1"/>
  <c r="C20" i="23" s="1"/>
  <c r="T39" i="23"/>
  <c r="B23" i="23" s="1"/>
  <c r="C23" i="23" s="1"/>
  <c r="T40" i="23"/>
  <c r="U40" i="23" s="1"/>
  <c r="F24" i="23" s="1"/>
  <c r="T41" i="23"/>
  <c r="B25" i="23" s="1"/>
  <c r="C25" i="23" s="1"/>
  <c r="T42" i="23"/>
  <c r="U42" i="23" s="1"/>
  <c r="T38" i="23"/>
  <c r="B22" i="23" s="1"/>
  <c r="C22" i="23" s="1"/>
  <c r="T37" i="23"/>
  <c r="B21" i="23" s="1"/>
  <c r="C21" i="23" s="1"/>
  <c r="T28" i="23"/>
  <c r="U28" i="23" s="1"/>
  <c r="F16" i="23" s="1"/>
  <c r="T30" i="23"/>
  <c r="U30" i="23" s="1"/>
  <c r="T33" i="23"/>
  <c r="U33" i="23" s="1"/>
  <c r="T34" i="23"/>
  <c r="U34" i="23" s="1"/>
  <c r="T26" i="23"/>
  <c r="B14" i="23" s="1"/>
  <c r="T27" i="23"/>
  <c r="U27" i="23" s="1"/>
  <c r="F15" i="23" s="1"/>
  <c r="T29" i="23"/>
  <c r="B17" i="23" s="1"/>
  <c r="T35" i="23"/>
  <c r="U35" i="23" s="1"/>
  <c r="T25" i="23"/>
  <c r="U25" i="23" s="1"/>
  <c r="F13" i="23" s="1"/>
  <c r="T31" i="23"/>
  <c r="U31" i="23" s="1"/>
  <c r="U39" i="23"/>
  <c r="F23" i="23" s="1"/>
  <c r="B24" i="23"/>
  <c r="D24" i="23" s="1"/>
  <c r="K15" i="23"/>
  <c r="I13" i="23"/>
  <c r="H13" i="23"/>
  <c r="H14" i="23"/>
  <c r="I14" i="23"/>
  <c r="I19" i="23"/>
  <c r="D10" i="42"/>
  <c r="G10" i="42"/>
  <c r="F12" i="42"/>
  <c r="I11" i="42"/>
  <c r="H11" i="42"/>
  <c r="E11" i="42" s="1"/>
  <c r="B28" i="23"/>
  <c r="U43" i="23"/>
  <c r="F28" i="23" s="1"/>
  <c r="B30" i="23"/>
  <c r="U45" i="23"/>
  <c r="F30" i="23" s="1"/>
  <c r="U44" i="23"/>
  <c r="F29" i="23" s="1"/>
  <c r="B29" i="23"/>
  <c r="I25" i="23"/>
  <c r="U36" i="23" l="1"/>
  <c r="F20" i="23" s="1"/>
  <c r="U41" i="23"/>
  <c r="F25" i="23" s="1"/>
  <c r="U37" i="23"/>
  <c r="F21" i="23" s="1"/>
  <c r="U38" i="23"/>
  <c r="F22" i="23" s="1"/>
  <c r="B16" i="23"/>
  <c r="D16" i="23" s="1"/>
  <c r="B15" i="23"/>
  <c r="D15" i="23" s="1"/>
  <c r="B13" i="23"/>
  <c r="D13" i="23" s="1"/>
  <c r="U29" i="23"/>
  <c r="F17" i="23" s="1"/>
  <c r="U26" i="23"/>
  <c r="F14" i="23" s="1"/>
  <c r="D23" i="23"/>
  <c r="C24" i="23"/>
  <c r="I15" i="23"/>
  <c r="F31" i="23"/>
  <c r="C30" i="23"/>
  <c r="D30" i="23"/>
  <c r="C28" i="23"/>
  <c r="D28" i="23"/>
  <c r="D11" i="42"/>
  <c r="G11" i="42"/>
  <c r="C17" i="23"/>
  <c r="F13" i="42"/>
  <c r="H12" i="42"/>
  <c r="E12" i="42" s="1"/>
  <c r="I12" i="42"/>
  <c r="D29" i="23"/>
  <c r="C29" i="23"/>
  <c r="C14" i="23"/>
  <c r="D22" i="23" l="1"/>
  <c r="D21" i="23"/>
  <c r="D25" i="23"/>
  <c r="F26" i="23"/>
  <c r="D20" i="23"/>
  <c r="C16" i="23"/>
  <c r="D14" i="23"/>
  <c r="C15" i="23"/>
  <c r="C13" i="23"/>
  <c r="F18" i="23"/>
  <c r="D17" i="23"/>
  <c r="D31" i="23"/>
  <c r="H13" i="42"/>
  <c r="E13" i="42" s="1"/>
  <c r="F14" i="42"/>
  <c r="I13" i="42"/>
  <c r="D12" i="42"/>
  <c r="G12" i="42"/>
  <c r="J35" i="23" l="1"/>
  <c r="K36" i="23" s="1"/>
  <c r="J38" i="23" s="1"/>
  <c r="D26" i="23"/>
  <c r="D18" i="23"/>
  <c r="G13" i="42"/>
  <c r="D13" i="42"/>
  <c r="I14" i="42"/>
  <c r="H14" i="42"/>
  <c r="E14" i="42" s="1"/>
  <c r="F15" i="42"/>
  <c r="G14" i="42" l="1"/>
  <c r="D14" i="42"/>
  <c r="F16" i="42"/>
  <c r="I15" i="42"/>
  <c r="H15" i="42"/>
  <c r="E15" i="42" s="1"/>
  <c r="D15" i="42" l="1"/>
  <c r="G15" i="42"/>
  <c r="F17" i="42"/>
  <c r="I16" i="42"/>
  <c r="H16" i="42"/>
  <c r="E16" i="42" s="1"/>
  <c r="D16" i="42" l="1"/>
  <c r="G16" i="42"/>
  <c r="F18" i="42"/>
  <c r="H17" i="42"/>
  <c r="E17" i="42" s="1"/>
  <c r="I17" i="42"/>
  <c r="G17" i="42" l="1"/>
  <c r="D17" i="42"/>
  <c r="F19" i="42"/>
  <c r="I18" i="42"/>
  <c r="H18" i="42"/>
  <c r="E18" i="42" s="1"/>
  <c r="D18" i="42" l="1"/>
  <c r="G18" i="42"/>
  <c r="F20" i="42"/>
  <c r="I19" i="42"/>
  <c r="H19" i="42"/>
  <c r="E19" i="42" s="1"/>
  <c r="D19" i="42" l="1"/>
  <c r="G19" i="42"/>
  <c r="F21" i="42"/>
  <c r="I20" i="42"/>
  <c r="H20" i="42"/>
  <c r="E20" i="42" s="1"/>
  <c r="D20" i="42" l="1"/>
  <c r="G20" i="42"/>
  <c r="F22" i="42"/>
  <c r="I21" i="42"/>
  <c r="H21" i="42"/>
  <c r="E21" i="42" s="1"/>
  <c r="G21" i="42" l="1"/>
  <c r="D21" i="42"/>
  <c r="I22" i="42"/>
  <c r="H22" i="42"/>
  <c r="E22" i="42" s="1"/>
  <c r="D22" i="42" l="1"/>
  <c r="G22" i="42"/>
  <c r="B9" i="42" s="1" a="1"/>
  <c r="B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1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1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1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1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1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1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1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100-000008000000}">
      <text>
        <r>
          <rPr>
            <b/>
            <sz val="9"/>
            <color indexed="81"/>
            <rFont val="Tahoma"/>
            <family val="2"/>
          </rPr>
          <t>The value here shows the prescriptive method rebar requirements for walls to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2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2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2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2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2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2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2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200-000008000000}">
      <text>
        <r>
          <rPr>
            <b/>
            <sz val="9"/>
            <color indexed="81"/>
            <rFont val="Tahoma"/>
            <family val="2"/>
          </rPr>
          <t>The value here shows the prescriptive method rebar requirements for walls to 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3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3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3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3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3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3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3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300-000008000000}">
      <text>
        <r>
          <rPr>
            <b/>
            <sz val="9"/>
            <color indexed="81"/>
            <rFont val="Tahoma"/>
            <family val="2"/>
          </rPr>
          <t>The value here shows the prescriptive method rebar requirements for walls to 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4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4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4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4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4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4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4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400-000008000000}">
      <text>
        <r>
          <rPr>
            <b/>
            <sz val="9"/>
            <color indexed="81"/>
            <rFont val="Tahoma"/>
            <family val="2"/>
          </rPr>
          <t>The value here shows the prescriptive method rebar requirements for walls to 12'.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5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5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5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5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5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5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5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500-000008000000}">
      <text>
        <r>
          <rPr>
            <b/>
            <sz val="9"/>
            <color indexed="81"/>
            <rFont val="Tahoma"/>
            <family val="2"/>
          </rPr>
          <t>The value here shows the prescriptive method rebar requirements for walls to 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6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6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6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6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6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6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6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600-000008000000}">
      <text>
        <r>
          <rPr>
            <b/>
            <sz val="9"/>
            <color indexed="81"/>
            <rFont val="Tahoma"/>
            <family val="2"/>
          </rPr>
          <t>The value here shows the prescriptive method rebar requirements for walls to 12'.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7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7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7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7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7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7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7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700-000008000000}">
      <text>
        <r>
          <rPr>
            <b/>
            <sz val="9"/>
            <color indexed="81"/>
            <rFont val="Tahoma"/>
            <family val="2"/>
          </rPr>
          <t>The value here shows the prescriptive method rebar requirements for walls to 12'.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8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8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8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8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8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8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8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800-000008000000}">
      <text>
        <r>
          <rPr>
            <b/>
            <sz val="9"/>
            <color indexed="81"/>
            <rFont val="Tahoma"/>
            <family val="2"/>
          </rPr>
          <t>The value here shows the prescriptive method rebar requirements for walls to 12'.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9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9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9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9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9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9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9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900-000008000000}">
      <text>
        <r>
          <rPr>
            <b/>
            <sz val="9"/>
            <color indexed="81"/>
            <rFont val="Tahoma"/>
            <family val="2"/>
          </rPr>
          <t>The value here shows the prescriptive method rebar requirements for walls to 12'.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H16" authorId="0" shapeId="0" xr:uid="{00000000-0006-0000-0A00-000001000000}">
      <text>
        <r>
          <rPr>
            <b/>
            <sz val="8"/>
            <color indexed="81"/>
            <rFont val="Tahoma"/>
            <family val="2"/>
          </rPr>
          <t>You can request to add block to this quote here, or carry over a total from the Gable Calculator.</t>
        </r>
        <r>
          <rPr>
            <sz val="8"/>
            <color indexed="81"/>
            <rFont val="Tahoma"/>
            <family val="2"/>
          </rPr>
          <t xml:space="preserve">
</t>
        </r>
      </text>
    </comment>
    <comment ref="F22" authorId="0" shapeId="0" xr:uid="{00000000-0006-0000-0A00-000002000000}">
      <text>
        <r>
          <rPr>
            <b/>
            <sz val="8"/>
            <color indexed="81"/>
            <rFont val="Tahoma"/>
            <family val="2"/>
          </rPr>
          <t>With Brickledge, it is recommended to either miter 2 blocks together, or cut 1 block to make an inside or outside 90 degree corner.  Drawings are located at
http://buildblock.com/technical/CAD_details.asp
BBDTL-41 - BBDTL-44a</t>
        </r>
        <r>
          <rPr>
            <sz val="8"/>
            <color indexed="81"/>
            <rFont val="Tahoma"/>
            <family val="2"/>
          </rPr>
          <t xml:space="preserve">
</t>
        </r>
      </text>
    </comment>
    <comment ref="F25" authorId="0" shapeId="0" xr:uid="{00000000-0006-0000-0A00-000003000000}">
      <text>
        <r>
          <rPr>
            <b/>
            <sz val="8"/>
            <color indexed="81"/>
            <rFont val="Tahoma"/>
            <family val="2"/>
          </rPr>
          <t>Some Contractors will use a standard corner, and rasp it to make a DTT corner.  Others Prefer to miter a DTT Block to make the corner.</t>
        </r>
        <r>
          <rPr>
            <sz val="8"/>
            <color indexed="81"/>
            <rFont val="Tahoma"/>
            <family val="2"/>
          </rPr>
          <t xml:space="preserve">
</t>
        </r>
      </text>
    </comment>
    <comment ref="B29" authorId="0" shapeId="0" xr:uid="{00000000-0006-0000-0A00-000004000000}">
      <text>
        <r>
          <rPr>
            <b/>
            <sz val="8"/>
            <color indexed="81"/>
            <rFont val="Tahoma"/>
            <family val="2"/>
          </rPr>
          <t>This cut factor allows you to determine a percentage to take out for doors and windows. The Percentage shown is the amount of window and door footage subtracted. Typical value is 80%</t>
        </r>
      </text>
    </comment>
    <comment ref="C101" authorId="0" shapeId="0" xr:uid="{00000000-0006-0000-0A00-000005000000}">
      <text>
        <r>
          <rPr>
            <b/>
            <sz val="8"/>
            <color indexed="81"/>
            <rFont val="Tahoma"/>
            <family val="2"/>
          </rPr>
          <t>Total Length of pins, including the "L" bend and the depth into the footing, plus the height above the footing into the block. (commonly 40db)</t>
        </r>
      </text>
    </comment>
    <comment ref="J110" authorId="0" shapeId="0" xr:uid="{00000000-0006-0000-0A00-000006000000}">
      <text>
        <r>
          <rPr>
            <b/>
            <sz val="8"/>
            <color indexed="81"/>
            <rFont val="Tahoma"/>
            <family val="2"/>
          </rPr>
          <t>Grid Steel is arranged in  12" x 12" pattern. Commonly uses #4 rebar.</t>
        </r>
        <r>
          <rPr>
            <sz val="8"/>
            <color indexed="81"/>
            <rFont val="Tahoma"/>
            <family val="2"/>
          </rPr>
          <t xml:space="preserve">
</t>
        </r>
      </text>
    </comment>
    <comment ref="J111" authorId="0" shapeId="0" xr:uid="{00000000-0006-0000-0A00-000007000000}">
      <text>
        <r>
          <rPr>
            <b/>
            <sz val="8"/>
            <color indexed="81"/>
            <rFont val="Tahoma"/>
            <family val="2"/>
          </rPr>
          <t>Beam Steel is run in pairs in the pocket between the BuildDeck panels.  The size of the rebar varies depending on the load to be carried.</t>
        </r>
      </text>
    </comment>
    <comment ref="C114" authorId="0" shapeId="0" xr:uid="{00000000-0006-0000-0A00-000008000000}">
      <text>
        <r>
          <rPr>
            <b/>
            <sz val="9"/>
            <color indexed="81"/>
            <rFont val="Tahoma"/>
            <family val="2"/>
          </rPr>
          <t>The value here shows the prescriptive method rebar requirements for walls to 12'.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Mark Kerfoot</author>
  </authors>
  <commentList>
    <comment ref="B5" authorId="0" shapeId="0" xr:uid="{00000000-0006-0000-0D00-000001000000}">
      <text>
        <r>
          <rPr>
            <b/>
            <sz val="8"/>
            <color indexed="81"/>
            <rFont val="Tahoma"/>
            <family val="2"/>
          </rPr>
          <t>This is the Roof Pitch.  It is commonly expressed as Rise/12 or on an elevation, as an "L" on the roof line showing a Rise dimension with a Run of 12 inches</t>
        </r>
        <r>
          <rPr>
            <sz val="8"/>
            <color indexed="81"/>
            <rFont val="Tahoma"/>
            <family val="2"/>
          </rPr>
          <t xml:space="preserve">
</t>
        </r>
      </text>
    </comment>
    <comment ref="C5" authorId="0" shapeId="0" xr:uid="{00000000-0006-0000-0D00-000002000000}">
      <text>
        <r>
          <rPr>
            <b/>
            <sz val="8"/>
            <color indexed="81"/>
            <rFont val="Tahoma"/>
            <family val="2"/>
          </rPr>
          <t>This is the angle of the roof from the horizontal plane. The angle is shown for Reference only.</t>
        </r>
      </text>
    </comment>
    <comment ref="D5" authorId="0" shapeId="0" xr:uid="{00000000-0006-0000-0D00-000003000000}">
      <text>
        <r>
          <rPr>
            <b/>
            <sz val="8"/>
            <color indexed="81"/>
            <rFont val="Tahoma"/>
            <family val="2"/>
          </rPr>
          <t xml:space="preserve">The width of the Gable coincides with the length of the wall below the gable area.  </t>
        </r>
        <r>
          <rPr>
            <sz val="8"/>
            <color indexed="81"/>
            <rFont val="Tahoma"/>
            <family val="2"/>
          </rPr>
          <t xml:space="preserve">
</t>
        </r>
      </text>
    </comment>
    <comment ref="E5" authorId="0" shapeId="0" xr:uid="{00000000-0006-0000-0D00-000004000000}">
      <text>
        <r>
          <rPr>
            <b/>
            <sz val="8"/>
            <color indexed="81"/>
            <rFont val="Tahoma"/>
            <family val="2"/>
          </rPr>
          <t>The height of the Gable is a calculated value based on a right triangle whose base is 1/2 the width of the gable, and whose hypotenuse is the roof line.</t>
        </r>
      </text>
    </comment>
    <comment ref="L20" authorId="0" shapeId="0" xr:uid="{00000000-0006-0000-0D00-000005000000}">
      <text>
        <r>
          <rPr>
            <b/>
            <sz val="8"/>
            <color indexed="81"/>
            <rFont val="Tahoma"/>
            <family val="2"/>
          </rPr>
          <t>Zuckles are used to adjust the plumb of the wall, while bracing it.  Place one at each strongback.</t>
        </r>
      </text>
    </comment>
    <comment ref="L21" authorId="0" shapeId="0" xr:uid="{00000000-0006-0000-0D00-000006000000}">
      <text>
        <r>
          <rPr>
            <b/>
            <sz val="8"/>
            <color indexed="81"/>
            <rFont val="Tahoma"/>
            <family val="2"/>
          </rPr>
          <t>Walers are estimated to be either 14' or 16' and overlap at the strongbacks every 12'.</t>
        </r>
      </text>
    </comment>
    <comment ref="L22" authorId="0" shapeId="0" xr:uid="{00000000-0006-0000-0D00-000007000000}">
      <text>
        <r>
          <rPr>
            <b/>
            <sz val="8"/>
            <color indexed="81"/>
            <rFont val="Tahoma"/>
            <family val="2"/>
          </rPr>
          <t>The length of the Strongbacks are to be determined by the height of the walls, up to 16'.</t>
        </r>
      </text>
    </comment>
  </commentList>
</comments>
</file>

<file path=xl/sharedStrings.xml><?xml version="1.0" encoding="utf-8"?>
<sst xmlns="http://schemas.openxmlformats.org/spreadsheetml/2006/main" count="3515" uniqueCount="559">
  <si>
    <t>BB400</t>
  </si>
  <si>
    <t>BB600</t>
  </si>
  <si>
    <t>BB800</t>
  </si>
  <si>
    <t>BL1000</t>
  </si>
  <si>
    <t>BL1200</t>
  </si>
  <si>
    <t>area</t>
  </si>
  <si>
    <t>Blocks</t>
  </si>
  <si>
    <t>Feet</t>
  </si>
  <si>
    <t>Inches</t>
  </si>
  <si>
    <t>Number of units</t>
  </si>
  <si>
    <t>X</t>
  </si>
  <si>
    <t>Wall Height</t>
  </si>
  <si>
    <t>Courses</t>
  </si>
  <si>
    <t>Wall Length</t>
  </si>
  <si>
    <t>90 Out</t>
  </si>
  <si>
    <t>90 In</t>
  </si>
  <si>
    <t>45 Out</t>
  </si>
  <si>
    <t>45 In</t>
  </si>
  <si>
    <t>Opening SqFt</t>
  </si>
  <si>
    <t>Brickledge Ft</t>
  </si>
  <si>
    <t>Dbl Taper Ft</t>
  </si>
  <si>
    <t>BB6DT</t>
  </si>
  <si>
    <t>BB8DT</t>
  </si>
  <si>
    <t>BB6BL</t>
  </si>
  <si>
    <t>BB8BL</t>
  </si>
  <si>
    <t>Subtotal</t>
  </si>
  <si>
    <t>Tax</t>
  </si>
  <si>
    <t>Shipping</t>
  </si>
  <si>
    <t>Total</t>
  </si>
  <si>
    <t>Total SqFt</t>
  </si>
  <si>
    <t>Linear Ft Buck</t>
  </si>
  <si>
    <t>Customer Name</t>
  </si>
  <si>
    <t>Phone</t>
  </si>
  <si>
    <t>Salesman</t>
  </si>
  <si>
    <t>Dennis Micoff</t>
  </si>
  <si>
    <t>Andrew Laub</t>
  </si>
  <si>
    <t>Dustin Cox</t>
  </si>
  <si>
    <t>Earl Fowler</t>
  </si>
  <si>
    <t>Address</t>
  </si>
  <si>
    <t>Core Width</t>
  </si>
  <si>
    <t>Concrete Volume</t>
  </si>
  <si>
    <t>Corners</t>
  </si>
  <si>
    <t>BB490</t>
  </si>
  <si>
    <t>BB445</t>
  </si>
  <si>
    <t>BB690</t>
  </si>
  <si>
    <t>BB645</t>
  </si>
  <si>
    <t>BB890</t>
  </si>
  <si>
    <t>BB845</t>
  </si>
  <si>
    <t>BL1090</t>
  </si>
  <si>
    <t>BL1290</t>
  </si>
  <si>
    <t xml:space="preserve">Panel </t>
  </si>
  <si>
    <t>BD800</t>
  </si>
  <si>
    <t>BD1000</t>
  </si>
  <si>
    <t>BD1200</t>
  </si>
  <si>
    <t>Build Deck</t>
  </si>
  <si>
    <t>BD1200+8"EPS</t>
  </si>
  <si>
    <t>BD1200+6"EPS</t>
  </si>
  <si>
    <t>BD1200+4"EPS</t>
  </si>
  <si>
    <t>BD1200+2"EPS</t>
  </si>
  <si>
    <t>Length</t>
  </si>
  <si>
    <t>Width</t>
  </si>
  <si>
    <t>Model #</t>
  </si>
  <si>
    <t>Units</t>
  </si>
  <si>
    <t>Height</t>
  </si>
  <si>
    <t>Build Block</t>
  </si>
  <si>
    <t>Openings</t>
  </si>
  <si>
    <t>Special Use Block</t>
  </si>
  <si>
    <t>Concrete</t>
  </si>
  <si>
    <t>Above Grade</t>
  </si>
  <si>
    <t>Below Grade</t>
  </si>
  <si>
    <t>Cap Depth</t>
  </si>
  <si>
    <t>3in</t>
  </si>
  <si>
    <t>4in</t>
  </si>
  <si>
    <t>Tamko TW-60</t>
  </si>
  <si>
    <t>C-Channel</t>
  </si>
  <si>
    <t>Outside 90</t>
  </si>
  <si>
    <t>Inside 90</t>
  </si>
  <si>
    <t>Outside 45</t>
  </si>
  <si>
    <t>Inside45</t>
  </si>
  <si>
    <t>DMX (DMX-244-20)</t>
  </si>
  <si>
    <t>Level1</t>
  </si>
  <si>
    <t>Level2</t>
  </si>
  <si>
    <t>Level3</t>
  </si>
  <si>
    <t>Level4</t>
  </si>
  <si>
    <t>Level5</t>
  </si>
  <si>
    <t>Level6</t>
  </si>
  <si>
    <t>Level7</t>
  </si>
  <si>
    <t>*All block must be ordered in Bundle Quantities.  See Summary Sheet.</t>
  </si>
  <si>
    <t>Ht of Backfill</t>
  </si>
  <si>
    <t>BL calc; Lft/4+1perCorner</t>
  </si>
  <si>
    <t>DTT calc; Lft/4+1perCorner</t>
  </si>
  <si>
    <t>Custom Corner</t>
  </si>
  <si>
    <t xml:space="preserve">BL calc; Lft/4 </t>
  </si>
  <si>
    <t xml:space="preserve">Date </t>
  </si>
  <si>
    <t>Windows</t>
  </si>
  <si>
    <t>Doors</t>
  </si>
  <si>
    <t>Added to BL1000</t>
  </si>
  <si>
    <t>Added to BL1200</t>
  </si>
  <si>
    <t>Miter 2 Blocks</t>
  </si>
  <si>
    <t>Miter 1 Block</t>
  </si>
  <si>
    <t>Miter DTT for Corner</t>
  </si>
  <si>
    <t>Rasp Corner for DTT</t>
  </si>
  <si>
    <t xml:space="preserve">DTT calc; Lft/4 </t>
  </si>
  <si>
    <t>SqFt opening</t>
  </si>
  <si>
    <t>See Openings worksheets below.</t>
  </si>
  <si>
    <t>Call for Quote</t>
  </si>
  <si>
    <t>Bldg Plan Corners</t>
  </si>
  <si>
    <t>Brickledge</t>
  </si>
  <si>
    <t>Qty</t>
  </si>
  <si>
    <t>Dbl Tapers</t>
  </si>
  <si>
    <t xml:space="preserve">Concrete Volume* </t>
  </si>
  <si>
    <t>Block Size</t>
  </si>
  <si>
    <t>Number of Blocks</t>
  </si>
  <si>
    <t>Multiplier</t>
  </si>
  <si>
    <t>Project</t>
  </si>
  <si>
    <t>Brickledge Corner Options</t>
  </si>
  <si>
    <t>Dbl Taper Corner Options</t>
  </si>
  <si>
    <t>Lin ft of Backfill</t>
  </si>
  <si>
    <t>Level8</t>
  </si>
  <si>
    <t>Level9</t>
  </si>
  <si>
    <t>Level10</t>
  </si>
  <si>
    <t>Date</t>
  </si>
  <si>
    <t>DMX Sheet Width</t>
  </si>
  <si>
    <t>6'-6"</t>
  </si>
  <si>
    <t>8'-0"</t>
  </si>
  <si>
    <t>Pitch</t>
  </si>
  <si>
    <t>Angle</t>
  </si>
  <si>
    <t>Width of Gable</t>
  </si>
  <si>
    <t>Height of Gable</t>
  </si>
  <si>
    <t>Block Count</t>
  </si>
  <si>
    <t>Blocks for the gable</t>
  </si>
  <si>
    <t>City, State Zip</t>
  </si>
  <si>
    <t>Add'l Block</t>
  </si>
  <si>
    <t>Gable Block Calculator</t>
  </si>
  <si>
    <t>Footing Calculator</t>
  </si>
  <si>
    <t>Depth</t>
  </si>
  <si>
    <t>Running Feet</t>
  </si>
  <si>
    <t>Number of Bars</t>
  </si>
  <si>
    <t>LongitudinalRebar</t>
  </si>
  <si>
    <t>Longitudinal Rebar</t>
  </si>
  <si>
    <t>Cross-Tie Rebar</t>
  </si>
  <si>
    <t>Cross-Tie Spacing</t>
  </si>
  <si>
    <t># Cross-Ties/Position</t>
  </si>
  <si>
    <t>Zonts</t>
  </si>
  <si>
    <t xml:space="preserve">Vertical Zonts </t>
  </si>
  <si>
    <t>Zont Bracing Calculator</t>
  </si>
  <si>
    <t>Zuckles</t>
  </si>
  <si>
    <t>Walers</t>
  </si>
  <si>
    <t>Strongbacks</t>
  </si>
  <si>
    <t>8' - 16'</t>
  </si>
  <si>
    <t>14' - 16'</t>
  </si>
  <si>
    <t>Fast Foot</t>
  </si>
  <si>
    <t>Edging</t>
  </si>
  <si>
    <t>Narrow</t>
  </si>
  <si>
    <t>Standard</t>
  </si>
  <si>
    <t>Wide</t>
  </si>
  <si>
    <t>Panel Configuration</t>
  </si>
  <si>
    <t>BD1200+2</t>
  </si>
  <si>
    <t>BD1200+4</t>
  </si>
  <si>
    <t>BD1200+6</t>
  </si>
  <si>
    <t>BD1200+8</t>
  </si>
  <si>
    <t>Window Door Cut Factor</t>
  </si>
  <si>
    <t>ReBar</t>
  </si>
  <si>
    <t>Center Spacing</t>
  </si>
  <si>
    <t xml:space="preserve"> CJ Pins</t>
  </si>
  <si>
    <t>Rebar Spec</t>
  </si>
  <si>
    <t>"L" Length</t>
  </si>
  <si>
    <t>Depth in Footing</t>
  </si>
  <si>
    <t>Lap Splice Length</t>
  </si>
  <si>
    <t>Bend Radius</t>
  </si>
  <si>
    <t>Perimeter</t>
  </si>
  <si>
    <t>Sticks</t>
  </si>
  <si>
    <t>Vertical</t>
  </si>
  <si>
    <t>ReBar Spec</t>
  </si>
  <si>
    <t>Horizontal (Max Height 12')</t>
  </si>
  <si>
    <t># Horizontals</t>
  </si>
  <si>
    <t>ReBar Length</t>
  </si>
  <si>
    <t xml:space="preserve">Lap Splice </t>
  </si>
  <si>
    <t>Spacing</t>
  </si>
  <si>
    <t>BuildDeck ReBar</t>
  </si>
  <si>
    <t>Beam Steel</t>
  </si>
  <si>
    <t>Grid Steel</t>
  </si>
  <si>
    <t># Panels</t>
  </si>
  <si>
    <t>Sticks for Grid</t>
  </si>
  <si>
    <t>Sticks for Beams</t>
  </si>
  <si>
    <t>Mark Kerfoot</t>
  </si>
  <si>
    <t>Mike Garrett</t>
  </si>
  <si>
    <t>mm</t>
  </si>
  <si>
    <t>cm</t>
  </si>
  <si>
    <t>m</t>
  </si>
  <si>
    <t>ft</t>
  </si>
  <si>
    <t>in</t>
  </si>
  <si>
    <t>Converted</t>
  </si>
  <si>
    <t>* Concrete Volume based on cap depth</t>
  </si>
  <si>
    <t>Net Wall Square feet</t>
  </si>
  <si>
    <t>Unit Converter</t>
  </si>
  <si>
    <t># Horiz. (Prescriptive &lt;12')</t>
  </si>
  <si>
    <t>Plan Horizontal Spacing</t>
  </si>
  <si>
    <t># Horiz. (Plan)</t>
  </si>
  <si>
    <t>GB400</t>
  </si>
  <si>
    <t>BL400</t>
  </si>
  <si>
    <t>GB600</t>
  </si>
  <si>
    <t>BL600</t>
  </si>
  <si>
    <t>BL800</t>
  </si>
  <si>
    <t>90° CORNER</t>
  </si>
  <si>
    <t>GB490</t>
  </si>
  <si>
    <t>GB690</t>
  </si>
  <si>
    <t>N/A</t>
  </si>
  <si>
    <t>45° CORNER</t>
  </si>
  <si>
    <t xml:space="preserve">Block </t>
  </si>
  <si>
    <t>#</t>
  </si>
  <si>
    <t>90's</t>
  </si>
  <si>
    <t>45's</t>
  </si>
  <si>
    <t>BL</t>
  </si>
  <si>
    <t>DT</t>
  </si>
  <si>
    <t>BD</t>
  </si>
  <si>
    <t>Level</t>
  </si>
  <si>
    <t>Bundles</t>
  </si>
  <si>
    <t>Each</t>
  </si>
  <si>
    <t>90° Corners</t>
  </si>
  <si>
    <t>45° Corners</t>
  </si>
  <si>
    <t>Double Taper</t>
  </si>
  <si>
    <t>BuildDeck</t>
  </si>
  <si>
    <t>DMX</t>
  </si>
  <si>
    <t>6'6"</t>
  </si>
  <si>
    <t>8'0"</t>
  </si>
  <si>
    <t>Roll Width</t>
  </si>
  <si>
    <t>Totals</t>
  </si>
  <si>
    <t>level1</t>
  </si>
  <si>
    <t>level2</t>
  </si>
  <si>
    <t>level3</t>
  </si>
  <si>
    <t>level4</t>
  </si>
  <si>
    <t>level5</t>
  </si>
  <si>
    <t>level6</t>
  </si>
  <si>
    <t>level7</t>
  </si>
  <si>
    <t>level8</t>
  </si>
  <si>
    <t>level9</t>
  </si>
  <si>
    <t>level10</t>
  </si>
  <si>
    <t>Total Concrete</t>
  </si>
  <si>
    <t>Block Concrete</t>
  </si>
  <si>
    <t>Deck Concrete</t>
  </si>
  <si>
    <t>Corner SF</t>
  </si>
  <si>
    <t>Straight Forms</t>
  </si>
  <si>
    <t>Though every reasonable effort has been made to ensure the accuracy of this estimate, factors out of our control such as varied site conditions, installation style, method and waste factors may impact the total materials estimate.  BuildBlock Building Systems, LLC is providing this document as a service and strictly for estimation purposes.  By using this document the recipient understands and agrees that any liability for BuildBlock is limited to the correction of errors and omissions contained herein.  It is the responsibility of the home owner, contractor, installer or other individual controlling the project/placing the order to ensure accuracy of quantities estimated.  BuildBlock assumes no liability for variances in material quantities or adverse results related to or caused by material quantity variances.  This is not a guarantee of pricing.  Verify pricing with a BuildBlock Sales Executive prior to placing order.</t>
  </si>
  <si>
    <t>CJPINS</t>
  </si>
  <si>
    <t>HORIZONTAL</t>
  </si>
  <si>
    <t>VERTICAL</t>
  </si>
  <si>
    <t>SIZE</t>
  </si>
  <si>
    <t>grid sz</t>
  </si>
  <si>
    <t>grid sticks</t>
  </si>
  <si>
    <t>beam size</t>
  </si>
  <si>
    <t>beam sticks</t>
  </si>
  <si>
    <t>cjSIZE</t>
  </si>
  <si>
    <t>hSIZE</t>
  </si>
  <si>
    <t>vSIZE</t>
  </si>
  <si>
    <t>Concrete and ReBar are estimated and provided for REFERENCE ONLY. These figures do not imply any engineering calculations.</t>
  </si>
  <si>
    <t>Slope</t>
  </si>
  <si>
    <t>Slope Calc</t>
  </si>
  <si>
    <t>Name</t>
  </si>
  <si>
    <t>Radius wall</t>
  </si>
  <si>
    <t xml:space="preserve">Radius  </t>
  </si>
  <si>
    <t>Circumference</t>
  </si>
  <si>
    <t>Approximate degrees of arc</t>
  </si>
  <si>
    <t>Linear feet of radius wall</t>
  </si>
  <si>
    <t>Chord Calcs</t>
  </si>
  <si>
    <t>Dustin Larsen</t>
  </si>
  <si>
    <t>no cut wall calc.</t>
  </si>
  <si>
    <t>Block core width</t>
  </si>
  <si>
    <t>estimated length</t>
  </si>
  <si>
    <t>90 degree corners</t>
  </si>
  <si>
    <t>45 degree corners</t>
  </si>
  <si>
    <t>Calc. Wall Length</t>
  </si>
  <si>
    <t>linear block ct</t>
  </si>
  <si>
    <t>inches</t>
  </si>
  <si>
    <t>corner pairs</t>
  </si>
  <si>
    <t>inches of corner pr.</t>
  </si>
  <si>
    <t>inches of wall - corners</t>
  </si>
  <si>
    <t>total inches of wall</t>
  </si>
  <si>
    <t>feet of wall</t>
  </si>
  <si>
    <t>Block</t>
  </si>
  <si>
    <t>los90</t>
  </si>
  <si>
    <t>sos90</t>
  </si>
  <si>
    <t>lis90</t>
  </si>
  <si>
    <t>sis90</t>
  </si>
  <si>
    <t>los45</t>
  </si>
  <si>
    <t>sos45</t>
  </si>
  <si>
    <t>lis45</t>
  </si>
  <si>
    <t>sis45</t>
  </si>
  <si>
    <t>XX</t>
  </si>
  <si>
    <t>Slab Calculator</t>
  </si>
  <si>
    <t xml:space="preserve">Cubic Yards </t>
  </si>
  <si>
    <t>Cubic Feet</t>
  </si>
  <si>
    <t>Cubic Inches</t>
  </si>
  <si>
    <t>Square feet</t>
  </si>
  <si>
    <t>Cubic Yards</t>
  </si>
  <si>
    <t>AB</t>
  </si>
  <si>
    <t>ED</t>
  </si>
  <si>
    <t>CE</t>
  </si>
  <si>
    <t>Diameter</t>
  </si>
  <si>
    <t>Radius</t>
  </si>
  <si>
    <t>Apothem (OE)</t>
  </si>
  <si>
    <t>Angle AOE</t>
  </si>
  <si>
    <t>Angle AOB</t>
  </si>
  <si>
    <t>Lineal Feet Sidewall</t>
  </si>
  <si>
    <t>Lineal Feet Joist Bearing</t>
  </si>
  <si>
    <t>PRODUCT</t>
  </si>
  <si>
    <t>Benner Nawman Rebar Cutter</t>
  </si>
  <si>
    <t>Benner Nawman Rebar Cutter Replacement Blade</t>
  </si>
  <si>
    <t>BuildBrace Build1 - All in One 10-foot Brace</t>
  </si>
  <si>
    <t>BuildBrace Build1 - All in One 10-foot Starter Package (48 braces, 2 transport crates)</t>
  </si>
  <si>
    <t>BuildBrace Build3 - 3 Piece 10-foot Starter Package (48 braces, 2 transport crates)</t>
  </si>
  <si>
    <t>BuildBrace Build3 - 3-Piece 10-foot Brace</t>
  </si>
  <si>
    <t>BuildBrace Transport Crate (Holds 48 10-foot braces)</t>
  </si>
  <si>
    <t>Creatherm S-45 2.8-inch Radiant Floor Panels (Bundle of 10 Panels)</t>
  </si>
  <si>
    <t>DMX AG Dimpled Membrane - 6.5 ft. x 65.5 ft. roll</t>
  </si>
  <si>
    <t>DMX AG Dimpled Membrane - 8 ft. x 65.5 ft. roll</t>
  </si>
  <si>
    <t>DMX FlexTrim (2in. x 6ft. 6in.) - Bundle of 10 pieces</t>
  </si>
  <si>
    <t>DMX Washers - 200 Washers Per Carton</t>
  </si>
  <si>
    <t>Fab-Form FastFoot 74-inch (128 feet per roll) - 4 rolls per Box</t>
  </si>
  <si>
    <t>Fab-Form FastFoot 62-inch (128 feet per roll) - 4 rolls per Box</t>
  </si>
  <si>
    <t>Foam2Foam - Case of 12 cans</t>
  </si>
  <si>
    <t>Hot Knife Concrete Forms Kit</t>
  </si>
  <si>
    <t>Pro-1 Hot Knife - 1 per Carton</t>
  </si>
  <si>
    <t>RAZ Panel from EZ Floor (Bundle of 10 Panels)</t>
  </si>
  <si>
    <t>Simpson ICFVL Ledger Connector - 15 pieces per Carton</t>
  </si>
  <si>
    <t>Simpson ICFVL-CW Comp Wood Ledger Connector - 15 pieces per Carton</t>
  </si>
  <si>
    <t>Simpson ICFVL-W Wood Ledger Connector - 15 pieces per Carton</t>
  </si>
  <si>
    <t>TAMKO Sheet Waterproofing Membrane - 12in. Wide x 61 ft. Rolls (Box of 3 rolls)</t>
  </si>
  <si>
    <t>TAMKO Sheet Waterproofing Membrane - Full Width (39 in. x 61 ft.)</t>
  </si>
  <si>
    <t>TAMKO Water Base Primer - 5 gallon pail</t>
  </si>
  <si>
    <t>Ultimate ICF QC Hot Knife Kit</t>
  </si>
  <si>
    <t>Wind-Lock Economy Foam Gun - 1 per Carton</t>
  </si>
  <si>
    <t>Wind-Lock Intermediate Foam Gun</t>
  </si>
  <si>
    <t>Zuckle (Turnbuckle) - 1 pkg. of 10 pieces</t>
  </si>
  <si>
    <t>Tools</t>
  </si>
  <si>
    <t>Bracing</t>
  </si>
  <si>
    <t>Radiant Floor</t>
  </si>
  <si>
    <t>Waterproofing</t>
  </si>
  <si>
    <t>Simpson Strong Tie</t>
  </si>
  <si>
    <t>Unit, Box or Pallet Count</t>
  </si>
  <si>
    <r>
      <t xml:space="preserve"> </t>
    </r>
    <r>
      <rPr>
        <b/>
        <sz val="12"/>
        <color indexed="63"/>
        <rFont val="Calibri"/>
        <family val="2"/>
        <scheme val="minor"/>
      </rPr>
      <t xml:space="preserve">Points </t>
    </r>
    <r>
      <rPr>
        <sz val="12"/>
        <rFont val="Calibri"/>
        <family val="2"/>
        <scheme val="minor"/>
      </rPr>
      <t xml:space="preserve"> </t>
    </r>
  </si>
  <si>
    <r>
      <t xml:space="preserve"> </t>
    </r>
    <r>
      <rPr>
        <b/>
        <sz val="12"/>
        <color indexed="63"/>
        <rFont val="Calibri"/>
        <family val="2"/>
        <scheme val="minor"/>
      </rPr>
      <t xml:space="preserve">Weather Conditions </t>
    </r>
    <r>
      <rPr>
        <sz val="12"/>
        <rFont val="Calibri"/>
        <family val="2"/>
        <scheme val="minor"/>
      </rPr>
      <t xml:space="preserve"> </t>
    </r>
  </si>
  <si>
    <r>
      <t xml:space="preserve"> </t>
    </r>
    <r>
      <rPr>
        <b/>
        <sz val="12"/>
        <color indexed="63"/>
        <rFont val="Calibri"/>
        <family val="2"/>
        <scheme val="minor"/>
      </rPr>
      <t xml:space="preserve">% of 90° or 45° corner forms / total forms </t>
    </r>
    <r>
      <rPr>
        <sz val="12"/>
        <rFont val="Calibri"/>
        <family val="2"/>
        <scheme val="minor"/>
      </rPr>
      <t xml:space="preserve"> </t>
    </r>
  </si>
  <si>
    <r>
      <t xml:space="preserve"> </t>
    </r>
    <r>
      <rPr>
        <b/>
        <sz val="12"/>
        <color indexed="63"/>
        <rFont val="Calibri"/>
        <family val="2"/>
        <scheme val="minor"/>
      </rPr>
      <t xml:space="preserve">% of other corner forms / total forms </t>
    </r>
    <r>
      <rPr>
        <sz val="12"/>
        <rFont val="Calibri"/>
        <family val="2"/>
        <scheme val="minor"/>
      </rPr>
      <t xml:space="preserve"> </t>
    </r>
  </si>
  <si>
    <r>
      <t xml:space="preserve"> </t>
    </r>
    <r>
      <rPr>
        <b/>
        <sz val="12"/>
        <color indexed="63"/>
        <rFont val="Calibri"/>
        <family val="2"/>
        <scheme val="minor"/>
      </rPr>
      <t xml:space="preserve">Typical # of courses /stories </t>
    </r>
    <r>
      <rPr>
        <sz val="12"/>
        <rFont val="Calibri"/>
        <family val="2"/>
        <scheme val="minor"/>
      </rPr>
      <t xml:space="preserve"> </t>
    </r>
  </si>
  <si>
    <r>
      <t xml:space="preserve"> </t>
    </r>
    <r>
      <rPr>
        <b/>
        <sz val="12"/>
        <color indexed="63"/>
        <rFont val="Calibri"/>
        <family val="2"/>
        <scheme val="minor"/>
      </rPr>
      <t xml:space="preserve">Total </t>
    </r>
    <r>
      <rPr>
        <sz val="12"/>
        <rFont val="Calibri"/>
        <family val="2"/>
        <scheme val="minor"/>
      </rPr>
      <t xml:space="preserve"> </t>
    </r>
  </si>
  <si>
    <r>
      <t xml:space="preserve"> </t>
    </r>
    <r>
      <rPr>
        <b/>
        <sz val="12"/>
        <color indexed="63"/>
        <rFont val="Calibri"/>
        <family val="2"/>
        <scheme val="minor"/>
      </rPr>
      <t xml:space="preserve">1 </t>
    </r>
    <r>
      <rPr>
        <sz val="12"/>
        <rFont val="Calibri"/>
        <family val="2"/>
        <scheme val="minor"/>
      </rPr>
      <t xml:space="preserve"> </t>
    </r>
  </si>
  <si>
    <r>
      <t xml:space="preserve"> </t>
    </r>
    <r>
      <rPr>
        <sz val="12"/>
        <color indexed="63"/>
        <rFont val="Calibri"/>
        <family val="2"/>
        <scheme val="minor"/>
      </rPr>
      <t xml:space="preserve">mild </t>
    </r>
    <r>
      <rPr>
        <sz val="12"/>
        <rFont val="Calibri"/>
        <family val="2"/>
        <scheme val="minor"/>
      </rPr>
      <t xml:space="preserve"> </t>
    </r>
  </si>
  <si>
    <r>
      <t xml:space="preserve"> </t>
    </r>
    <r>
      <rPr>
        <sz val="12"/>
        <color indexed="63"/>
        <rFont val="Calibri"/>
        <family val="2"/>
        <scheme val="minor"/>
      </rPr>
      <t xml:space="preserve">0 - 16% </t>
    </r>
    <r>
      <rPr>
        <sz val="12"/>
        <rFont val="Calibri"/>
        <family val="2"/>
        <scheme val="minor"/>
      </rPr>
      <t xml:space="preserve"> </t>
    </r>
  </si>
  <si>
    <r>
      <t xml:space="preserve"> </t>
    </r>
    <r>
      <rPr>
        <sz val="12"/>
        <color indexed="63"/>
        <rFont val="Calibri"/>
        <family val="2"/>
        <scheme val="minor"/>
      </rPr>
      <t xml:space="preserve">0 </t>
    </r>
    <r>
      <rPr>
        <sz val="12"/>
        <rFont val="Calibri"/>
        <family val="2"/>
        <scheme val="minor"/>
      </rPr>
      <t xml:space="preserve"> </t>
    </r>
  </si>
  <si>
    <r>
      <t xml:space="preserve"> </t>
    </r>
    <r>
      <rPr>
        <sz val="12"/>
        <color indexed="63"/>
        <rFont val="Calibri"/>
        <family val="2"/>
        <scheme val="minor"/>
      </rPr>
      <t xml:space="preserve">1 - 7 </t>
    </r>
    <r>
      <rPr>
        <sz val="12"/>
        <rFont val="Calibri"/>
        <family val="2"/>
        <scheme val="minor"/>
      </rPr>
      <t xml:space="preserve"> </t>
    </r>
  </si>
  <si>
    <t xml:space="preserve"> </t>
  </si>
  <si>
    <r>
      <t xml:space="preserve"> </t>
    </r>
    <r>
      <rPr>
        <b/>
        <sz val="12"/>
        <color indexed="63"/>
        <rFont val="Calibri"/>
        <family val="2"/>
        <scheme val="minor"/>
      </rPr>
      <t xml:space="preserve">3 </t>
    </r>
    <r>
      <rPr>
        <sz val="12"/>
        <rFont val="Calibri"/>
        <family val="2"/>
        <scheme val="minor"/>
      </rPr>
      <t xml:space="preserve"> </t>
    </r>
  </si>
  <si>
    <r>
      <t xml:space="preserve"> </t>
    </r>
    <r>
      <rPr>
        <sz val="12"/>
        <color indexed="63"/>
        <rFont val="Calibri"/>
        <family val="2"/>
        <scheme val="minor"/>
      </rPr>
      <t xml:space="preserve">rain / snow </t>
    </r>
    <r>
      <rPr>
        <sz val="12"/>
        <rFont val="Calibri"/>
        <family val="2"/>
        <scheme val="minor"/>
      </rPr>
      <t xml:space="preserve"> </t>
    </r>
  </si>
  <si>
    <r>
      <t xml:space="preserve"> </t>
    </r>
    <r>
      <rPr>
        <sz val="12"/>
        <color indexed="63"/>
        <rFont val="Calibri"/>
        <family val="2"/>
        <scheme val="minor"/>
      </rPr>
      <t xml:space="preserve">17 - 24% </t>
    </r>
    <r>
      <rPr>
        <sz val="12"/>
        <rFont val="Calibri"/>
        <family val="2"/>
        <scheme val="minor"/>
      </rPr>
      <t xml:space="preserve"> </t>
    </r>
  </si>
  <si>
    <r>
      <t xml:space="preserve"> </t>
    </r>
    <r>
      <rPr>
        <sz val="12"/>
        <color indexed="63"/>
        <rFont val="Calibri"/>
        <family val="2"/>
        <scheme val="minor"/>
      </rPr>
      <t xml:space="preserve">1 - 16% </t>
    </r>
    <r>
      <rPr>
        <sz val="12"/>
        <rFont val="Calibri"/>
        <family val="2"/>
        <scheme val="minor"/>
      </rPr>
      <t xml:space="preserve"> </t>
    </r>
  </si>
  <si>
    <r>
      <t xml:space="preserve"> </t>
    </r>
    <r>
      <rPr>
        <sz val="12"/>
        <color indexed="63"/>
        <rFont val="Calibri"/>
        <family val="2"/>
        <scheme val="minor"/>
      </rPr>
      <t xml:space="preserve">8 - 10 </t>
    </r>
    <r>
      <rPr>
        <sz val="12"/>
        <rFont val="Calibri"/>
        <family val="2"/>
        <scheme val="minor"/>
      </rPr>
      <t xml:space="preserve"> </t>
    </r>
  </si>
  <si>
    <r>
      <t xml:space="preserve"> </t>
    </r>
    <r>
      <rPr>
        <b/>
        <sz val="12"/>
        <color indexed="63"/>
        <rFont val="Calibri"/>
        <family val="2"/>
        <scheme val="minor"/>
      </rPr>
      <t xml:space="preserve">5 </t>
    </r>
    <r>
      <rPr>
        <sz val="12"/>
        <rFont val="Calibri"/>
        <family val="2"/>
        <scheme val="minor"/>
      </rPr>
      <t xml:space="preserve"> </t>
    </r>
  </si>
  <si>
    <r>
      <t xml:space="preserve"> </t>
    </r>
    <r>
      <rPr>
        <sz val="12"/>
        <color indexed="63"/>
        <rFont val="Calibri"/>
        <family val="2"/>
        <scheme val="minor"/>
      </rPr>
      <t xml:space="preserve">severe hot / cold </t>
    </r>
    <r>
      <rPr>
        <sz val="12"/>
        <rFont val="Calibri"/>
        <family val="2"/>
        <scheme val="minor"/>
      </rPr>
      <t xml:space="preserve"> </t>
    </r>
  </si>
  <si>
    <r>
      <t xml:space="preserve"> </t>
    </r>
    <r>
      <rPr>
        <sz val="12"/>
        <color indexed="63"/>
        <rFont val="Calibri"/>
        <family val="2"/>
        <scheme val="minor"/>
      </rPr>
      <t xml:space="preserve">25%+ </t>
    </r>
    <r>
      <rPr>
        <sz val="12"/>
        <rFont val="Calibri"/>
        <family val="2"/>
        <scheme val="minor"/>
      </rPr>
      <t xml:space="preserve"> </t>
    </r>
  </si>
  <si>
    <r>
      <t xml:space="preserve"> </t>
    </r>
    <r>
      <rPr>
        <sz val="12"/>
        <color indexed="63"/>
        <rFont val="Calibri"/>
        <family val="2"/>
        <scheme val="minor"/>
      </rPr>
      <t xml:space="preserve">17%+ </t>
    </r>
    <r>
      <rPr>
        <sz val="12"/>
        <rFont val="Calibri"/>
        <family val="2"/>
        <scheme val="minor"/>
      </rPr>
      <t xml:space="preserve"> </t>
    </r>
  </si>
  <si>
    <r>
      <t xml:space="preserve"> </t>
    </r>
    <r>
      <rPr>
        <sz val="12"/>
        <color indexed="63"/>
        <rFont val="Calibri"/>
        <family val="2"/>
        <scheme val="minor"/>
      </rPr>
      <t xml:space="preserve">11+ </t>
    </r>
    <r>
      <rPr>
        <sz val="12"/>
        <rFont val="Calibri"/>
        <family val="2"/>
        <scheme val="minor"/>
      </rPr>
      <t xml:space="preserve"> </t>
    </r>
  </si>
  <si>
    <r>
      <t xml:space="preserve"> </t>
    </r>
    <r>
      <rPr>
        <b/>
        <sz val="12"/>
        <color indexed="63"/>
        <rFont val="Calibri"/>
        <family val="2"/>
        <scheme val="minor"/>
      </rPr>
      <t xml:space="preserve">SF openings/ GSF of wall area </t>
    </r>
    <r>
      <rPr>
        <sz val="12"/>
        <rFont val="Calibri"/>
        <family val="2"/>
        <scheme val="minor"/>
      </rPr>
      <t xml:space="preserve"> </t>
    </r>
  </si>
  <si>
    <r>
      <t xml:space="preserve"> </t>
    </r>
    <r>
      <rPr>
        <b/>
        <sz val="12"/>
        <color indexed="63"/>
        <rFont val="Calibri"/>
        <family val="2"/>
        <scheme val="minor"/>
      </rPr>
      <t xml:space="preserve">SF of radius wall / GSF wall area </t>
    </r>
    <r>
      <rPr>
        <sz val="12"/>
        <rFont val="Calibri"/>
        <family val="2"/>
        <scheme val="minor"/>
      </rPr>
      <t xml:space="preserve"> </t>
    </r>
  </si>
  <si>
    <r>
      <t xml:space="preserve"> </t>
    </r>
    <r>
      <rPr>
        <b/>
        <sz val="12"/>
        <color indexed="63"/>
        <rFont val="Calibri"/>
        <family val="2"/>
        <scheme val="minor"/>
      </rPr>
      <t xml:space="preserve">Average lintel has: </t>
    </r>
    <r>
      <rPr>
        <sz val="12"/>
        <rFont val="Calibri"/>
        <family val="2"/>
        <scheme val="minor"/>
      </rPr>
      <t xml:space="preserve"> </t>
    </r>
  </si>
  <si>
    <r>
      <rPr>
        <b/>
        <sz val="12"/>
        <color indexed="63"/>
        <rFont val="Calibri"/>
        <family val="2"/>
        <scheme val="minor"/>
      </rPr>
      <t xml:space="preserve">crew experience level </t>
    </r>
    <r>
      <rPr>
        <sz val="12"/>
        <rFont val="Calibri"/>
        <family val="2"/>
        <scheme val="minor"/>
      </rPr>
      <t xml:space="preserve"> </t>
    </r>
  </si>
  <si>
    <r>
      <t xml:space="preserve"> </t>
    </r>
    <r>
      <rPr>
        <sz val="12"/>
        <color indexed="63"/>
        <rFont val="Calibri"/>
        <family val="2"/>
        <scheme val="minor"/>
      </rPr>
      <t xml:space="preserve">0 - 7% </t>
    </r>
    <r>
      <rPr>
        <sz val="12"/>
        <rFont val="Calibri"/>
        <family val="2"/>
        <scheme val="minor"/>
      </rPr>
      <t xml:space="preserve"> </t>
    </r>
  </si>
  <si>
    <r>
      <t xml:space="preserve"> </t>
    </r>
    <r>
      <rPr>
        <sz val="12"/>
        <color indexed="63"/>
        <rFont val="Calibri"/>
        <family val="2"/>
        <scheme val="minor"/>
      </rPr>
      <t xml:space="preserve">no stirrups </t>
    </r>
    <r>
      <rPr>
        <sz val="12"/>
        <rFont val="Calibri"/>
        <family val="2"/>
        <scheme val="minor"/>
      </rPr>
      <t xml:space="preserve"> </t>
    </r>
  </si>
  <si>
    <r>
      <t xml:space="preserve"> </t>
    </r>
    <r>
      <rPr>
        <sz val="12"/>
        <color indexed="63"/>
        <rFont val="Calibri"/>
        <family val="2"/>
        <scheme val="minor"/>
      </rPr>
      <t xml:space="preserve">high </t>
    </r>
    <r>
      <rPr>
        <sz val="12"/>
        <rFont val="Calibri"/>
        <family val="2"/>
        <scheme val="minor"/>
      </rPr>
      <t xml:space="preserve"> </t>
    </r>
  </si>
  <si>
    <r>
      <t xml:space="preserve"> </t>
    </r>
    <r>
      <rPr>
        <sz val="12"/>
        <color indexed="63"/>
        <rFont val="Calibri"/>
        <family val="2"/>
        <scheme val="minor"/>
      </rPr>
      <t xml:space="preserve">8 - 20% </t>
    </r>
    <r>
      <rPr>
        <sz val="12"/>
        <rFont val="Calibri"/>
        <family val="2"/>
        <scheme val="minor"/>
      </rPr>
      <t xml:space="preserve"> </t>
    </r>
  </si>
  <si>
    <r>
      <t xml:space="preserve"> </t>
    </r>
    <r>
      <rPr>
        <sz val="12"/>
        <color indexed="63"/>
        <rFont val="Calibri"/>
        <family val="2"/>
        <scheme val="minor"/>
      </rPr>
      <t xml:space="preserve">1 - 10% </t>
    </r>
    <r>
      <rPr>
        <sz val="12"/>
        <rFont val="Calibri"/>
        <family val="2"/>
        <scheme val="minor"/>
      </rPr>
      <t xml:space="preserve"> </t>
    </r>
  </si>
  <si>
    <r>
      <t xml:space="preserve"> </t>
    </r>
    <r>
      <rPr>
        <sz val="12"/>
        <color indexed="63"/>
        <rFont val="Calibri"/>
        <family val="2"/>
        <scheme val="minor"/>
      </rPr>
      <t xml:space="preserve">C stirrups </t>
    </r>
    <r>
      <rPr>
        <sz val="12"/>
        <rFont val="Calibri"/>
        <family val="2"/>
        <scheme val="minor"/>
      </rPr>
      <t xml:space="preserve"> </t>
    </r>
  </si>
  <si>
    <r>
      <t xml:space="preserve"> </t>
    </r>
    <r>
      <rPr>
        <sz val="12"/>
        <color indexed="63"/>
        <rFont val="Calibri"/>
        <family val="2"/>
        <scheme val="minor"/>
      </rPr>
      <t xml:space="preserve">medium </t>
    </r>
    <r>
      <rPr>
        <sz val="12"/>
        <rFont val="Calibri"/>
        <family val="2"/>
        <scheme val="minor"/>
      </rPr>
      <t xml:space="preserve"> </t>
    </r>
  </si>
  <si>
    <r>
      <t xml:space="preserve"> </t>
    </r>
    <r>
      <rPr>
        <sz val="12"/>
        <color indexed="63"/>
        <rFont val="Calibri"/>
        <family val="2"/>
        <scheme val="minor"/>
      </rPr>
      <t xml:space="preserve">21% </t>
    </r>
    <r>
      <rPr>
        <sz val="12"/>
        <rFont val="Calibri"/>
        <family val="2"/>
        <scheme val="minor"/>
      </rPr>
      <t xml:space="preserve"> </t>
    </r>
  </si>
  <si>
    <r>
      <t xml:space="preserve"> </t>
    </r>
    <r>
      <rPr>
        <sz val="12"/>
        <color indexed="63"/>
        <rFont val="Calibri"/>
        <family val="2"/>
        <scheme val="minor"/>
      </rPr>
      <t xml:space="preserve">11% </t>
    </r>
    <r>
      <rPr>
        <sz val="12"/>
        <rFont val="Calibri"/>
        <family val="2"/>
        <scheme val="minor"/>
      </rPr>
      <t xml:space="preserve"> </t>
    </r>
  </si>
  <si>
    <r>
      <t xml:space="preserve"> </t>
    </r>
    <r>
      <rPr>
        <sz val="12"/>
        <color indexed="63"/>
        <rFont val="Calibri"/>
        <family val="2"/>
        <scheme val="minor"/>
      </rPr>
      <t xml:space="preserve">cage stirrups </t>
    </r>
    <r>
      <rPr>
        <sz val="12"/>
        <rFont val="Calibri"/>
        <family val="2"/>
        <scheme val="minor"/>
      </rPr>
      <t xml:space="preserve"> </t>
    </r>
  </si>
  <si>
    <r>
      <t xml:space="preserve"> </t>
    </r>
    <r>
      <rPr>
        <sz val="12"/>
        <color indexed="63"/>
        <rFont val="Calibri"/>
        <family val="2"/>
        <scheme val="minor"/>
      </rPr>
      <t xml:space="preserve">low (unless job is 2000+ forms) </t>
    </r>
    <r>
      <rPr>
        <sz val="12"/>
        <rFont val="Calibri"/>
        <family val="2"/>
        <scheme val="minor"/>
      </rPr>
      <t xml:space="preserve"> </t>
    </r>
  </si>
  <si>
    <r>
      <t xml:space="preserve"> </t>
    </r>
    <r>
      <rPr>
        <b/>
        <sz val="12"/>
        <color indexed="63"/>
        <rFont val="Calibri"/>
        <family val="2"/>
        <scheme val="minor"/>
      </rPr>
      <t xml:space="preserve">Site access and ground conditions </t>
    </r>
    <r>
      <rPr>
        <sz val="12"/>
        <rFont val="Calibri"/>
        <family val="2"/>
        <scheme val="minor"/>
      </rPr>
      <t xml:space="preserve"> </t>
    </r>
  </si>
  <si>
    <r>
      <t xml:space="preserve"> </t>
    </r>
    <r>
      <rPr>
        <b/>
        <sz val="12"/>
        <color indexed="63"/>
        <rFont val="Calibri"/>
        <family val="2"/>
        <scheme val="minor"/>
      </rPr>
      <t xml:space="preserve">Window-door horizontal rip cuts </t>
    </r>
    <r>
      <rPr>
        <sz val="12"/>
        <rFont val="Calibri"/>
        <family val="2"/>
        <scheme val="minor"/>
      </rPr>
      <t xml:space="preserve"> </t>
    </r>
  </si>
  <si>
    <r>
      <t xml:space="preserve"> </t>
    </r>
    <r>
      <rPr>
        <b/>
        <sz val="12"/>
        <color indexed="63"/>
        <rFont val="Calibri"/>
        <family val="2"/>
        <scheme val="minor"/>
      </rPr>
      <t xml:space="preserve"># tees or pilasters / story </t>
    </r>
    <r>
      <rPr>
        <sz val="12"/>
        <rFont val="Calibri"/>
        <family val="2"/>
        <scheme val="minor"/>
      </rPr>
      <t xml:space="preserve"> </t>
    </r>
  </si>
  <si>
    <r>
      <t xml:space="preserve"> </t>
    </r>
    <r>
      <rPr>
        <b/>
        <sz val="12"/>
        <color indexed="63"/>
        <rFont val="Calibri"/>
        <family val="2"/>
        <scheme val="minor"/>
      </rPr>
      <t>Embedments</t>
    </r>
    <r>
      <rPr>
        <sz val="12"/>
        <rFont val="Calibri"/>
        <family val="2"/>
        <scheme val="minor"/>
      </rPr>
      <t xml:space="preserve"> </t>
    </r>
  </si>
  <si>
    <r>
      <t xml:space="preserve"> </t>
    </r>
    <r>
      <rPr>
        <sz val="12"/>
        <color indexed="63"/>
        <rFont val="Calibri"/>
        <family val="2"/>
        <scheme val="minor"/>
      </rPr>
      <t xml:space="preserve">ideal </t>
    </r>
    <r>
      <rPr>
        <sz val="12"/>
        <rFont val="Calibri"/>
        <family val="2"/>
        <scheme val="minor"/>
      </rPr>
      <t xml:space="preserve"> </t>
    </r>
  </si>
  <si>
    <r>
      <t xml:space="preserve"> </t>
    </r>
    <r>
      <rPr>
        <sz val="12"/>
        <color indexed="63"/>
        <rFont val="Calibri"/>
        <family val="2"/>
        <scheme val="minor"/>
      </rPr>
      <t xml:space="preserve">no rip cuts </t>
    </r>
    <r>
      <rPr>
        <sz val="12"/>
        <rFont val="Calibri"/>
        <family val="2"/>
        <scheme val="minor"/>
      </rPr>
      <t xml:space="preserve"> </t>
    </r>
  </si>
  <si>
    <r>
      <t xml:space="preserve"> </t>
    </r>
    <r>
      <rPr>
        <sz val="12"/>
        <color indexed="63"/>
        <rFont val="Calibri"/>
        <family val="2"/>
        <scheme val="minor"/>
      </rPr>
      <t xml:space="preserve">few and simple </t>
    </r>
    <r>
      <rPr>
        <sz val="12"/>
        <rFont val="Calibri"/>
        <family val="2"/>
        <scheme val="minor"/>
      </rPr>
      <t xml:space="preserve"> </t>
    </r>
  </si>
  <si>
    <r>
      <t xml:space="preserve"> </t>
    </r>
    <r>
      <rPr>
        <b/>
        <sz val="12"/>
        <color indexed="63"/>
        <rFont val="Calibri"/>
        <family val="2"/>
        <scheme val="minor"/>
      </rPr>
      <t xml:space="preserve">2 </t>
    </r>
    <r>
      <rPr>
        <sz val="12"/>
        <rFont val="Calibri"/>
        <family val="2"/>
        <scheme val="minor"/>
      </rPr>
      <t xml:space="preserve"> </t>
    </r>
  </si>
  <si>
    <r>
      <t xml:space="preserve"> </t>
    </r>
    <r>
      <rPr>
        <sz val="12"/>
        <color indexed="63"/>
        <rFont val="Calibri"/>
        <family val="2"/>
        <scheme val="minor"/>
      </rPr>
      <t xml:space="preserve">fair </t>
    </r>
    <r>
      <rPr>
        <sz val="12"/>
        <rFont val="Calibri"/>
        <family val="2"/>
        <scheme val="minor"/>
      </rPr>
      <t xml:space="preserve"> </t>
    </r>
  </si>
  <si>
    <r>
      <t xml:space="preserve"> </t>
    </r>
    <r>
      <rPr>
        <sz val="12"/>
        <color indexed="63"/>
        <rFont val="Calibri"/>
        <family val="2"/>
        <scheme val="minor"/>
      </rPr>
      <t xml:space="preserve">up to 4” rip cuts </t>
    </r>
    <r>
      <rPr>
        <sz val="12"/>
        <rFont val="Calibri"/>
        <family val="2"/>
        <scheme val="minor"/>
      </rPr>
      <t xml:space="preserve"> </t>
    </r>
  </si>
  <si>
    <r>
      <t xml:space="preserve"> </t>
    </r>
    <r>
      <rPr>
        <sz val="12"/>
        <color indexed="63"/>
        <rFont val="Calibri"/>
        <family val="2"/>
        <scheme val="minor"/>
      </rPr>
      <t xml:space="preserve">few and complex </t>
    </r>
    <r>
      <rPr>
        <sz val="12"/>
        <rFont val="Calibri"/>
        <family val="2"/>
        <scheme val="minor"/>
      </rPr>
      <t xml:space="preserve"> </t>
    </r>
  </si>
  <si>
    <r>
      <t xml:space="preserve"> </t>
    </r>
    <r>
      <rPr>
        <sz val="12"/>
        <color indexed="63"/>
        <rFont val="Calibri"/>
        <family val="2"/>
        <scheme val="minor"/>
      </rPr>
      <t xml:space="preserve">poor </t>
    </r>
    <r>
      <rPr>
        <sz val="12"/>
        <rFont val="Calibri"/>
        <family val="2"/>
        <scheme val="minor"/>
      </rPr>
      <t xml:space="preserve"> </t>
    </r>
  </si>
  <si>
    <r>
      <t xml:space="preserve"> </t>
    </r>
    <r>
      <rPr>
        <sz val="12"/>
        <color indexed="63"/>
        <rFont val="Calibri"/>
        <family val="2"/>
        <scheme val="minor"/>
      </rPr>
      <t xml:space="preserve">up to 4” rip cuts top/bottom </t>
    </r>
    <r>
      <rPr>
        <sz val="12"/>
        <rFont val="Calibri"/>
        <family val="2"/>
        <scheme val="minor"/>
      </rPr>
      <t xml:space="preserve"> </t>
    </r>
  </si>
  <si>
    <r>
      <t xml:space="preserve"> </t>
    </r>
    <r>
      <rPr>
        <sz val="12"/>
        <color indexed="63"/>
        <rFont val="Calibri"/>
        <family val="2"/>
        <scheme val="minor"/>
      </rPr>
      <t xml:space="preserve">5+ </t>
    </r>
    <r>
      <rPr>
        <sz val="12"/>
        <rFont val="Calibri"/>
        <family val="2"/>
        <scheme val="minor"/>
      </rPr>
      <t xml:space="preserve"> </t>
    </r>
  </si>
  <si>
    <r>
      <t xml:space="preserve"> </t>
    </r>
    <r>
      <rPr>
        <sz val="12"/>
        <color indexed="63"/>
        <rFont val="Calibri"/>
        <family val="2"/>
        <scheme val="minor"/>
      </rPr>
      <t xml:space="preserve">more and complex </t>
    </r>
    <r>
      <rPr>
        <sz val="12"/>
        <rFont val="Calibri"/>
        <family val="2"/>
        <scheme val="minor"/>
      </rPr>
      <t xml:space="preserve"> </t>
    </r>
  </si>
  <si>
    <r>
      <t xml:space="preserve"> </t>
    </r>
    <r>
      <rPr>
        <b/>
        <sz val="12"/>
        <color indexed="63"/>
        <rFont val="Calibri"/>
        <family val="2"/>
        <scheme val="minor"/>
      </rPr>
      <t xml:space="preserve">ICF type used </t>
    </r>
    <r>
      <rPr>
        <sz val="12"/>
        <rFont val="Calibri"/>
        <family val="2"/>
        <scheme val="minor"/>
      </rPr>
      <t xml:space="preserve"> </t>
    </r>
  </si>
  <si>
    <r>
      <t xml:space="preserve"> </t>
    </r>
    <r>
      <rPr>
        <b/>
        <sz val="12"/>
        <color indexed="63"/>
        <rFont val="Calibri"/>
        <family val="2"/>
        <scheme val="minor"/>
      </rPr>
      <t xml:space="preserve">Courses of brick ledge/story </t>
    </r>
    <r>
      <rPr>
        <sz val="12"/>
        <rFont val="Calibri"/>
        <family val="2"/>
        <scheme val="minor"/>
      </rPr>
      <t xml:space="preserve"> </t>
    </r>
  </si>
  <si>
    <r>
      <t xml:space="preserve"> </t>
    </r>
    <r>
      <rPr>
        <b/>
        <sz val="12"/>
        <color indexed="63"/>
        <rFont val="Calibri"/>
        <family val="2"/>
        <scheme val="minor"/>
      </rPr>
      <t xml:space="preserve">LF rebar per standard form </t>
    </r>
    <r>
      <rPr>
        <sz val="12"/>
        <rFont val="Calibri"/>
        <family val="2"/>
        <scheme val="minor"/>
      </rPr>
      <t xml:space="preserve"> </t>
    </r>
  </si>
  <si>
    <r>
      <t xml:space="preserve"> </t>
    </r>
    <r>
      <rPr>
        <b/>
        <sz val="12"/>
        <color indexed="63"/>
        <rFont val="Calibri"/>
        <family val="2"/>
        <scheme val="minor"/>
      </rPr>
      <t xml:space="preserve"># stories (incl. basement) </t>
    </r>
    <r>
      <rPr>
        <sz val="12"/>
        <rFont val="Calibri"/>
        <family val="2"/>
        <scheme val="minor"/>
      </rPr>
      <t xml:space="preserve"> </t>
    </r>
  </si>
  <si>
    <r>
      <t xml:space="preserve"> </t>
    </r>
    <r>
      <rPr>
        <sz val="12"/>
        <color indexed="63"/>
        <rFont val="Calibri"/>
        <family val="2"/>
        <scheme val="minor"/>
      </rPr>
      <t xml:space="preserve">block </t>
    </r>
    <r>
      <rPr>
        <sz val="12"/>
        <rFont val="Calibri"/>
        <family val="2"/>
        <scheme val="minor"/>
      </rPr>
      <t xml:space="preserve"> </t>
    </r>
  </si>
  <si>
    <r>
      <t xml:space="preserve"> </t>
    </r>
    <r>
      <rPr>
        <sz val="12"/>
        <color indexed="63"/>
        <rFont val="Calibri"/>
        <family val="2"/>
        <scheme val="minor"/>
      </rPr>
      <t xml:space="preserve">0 - 9 </t>
    </r>
    <r>
      <rPr>
        <sz val="12"/>
        <rFont val="Calibri"/>
        <family val="2"/>
        <scheme val="minor"/>
      </rPr>
      <t xml:space="preserve"> </t>
    </r>
  </si>
  <si>
    <r>
      <t xml:space="preserve"> </t>
    </r>
    <r>
      <rPr>
        <sz val="12"/>
        <color indexed="63"/>
        <rFont val="Calibri"/>
        <family val="2"/>
        <scheme val="minor"/>
      </rPr>
      <t xml:space="preserve">1 </t>
    </r>
    <r>
      <rPr>
        <sz val="12"/>
        <rFont val="Calibri"/>
        <family val="2"/>
        <scheme val="minor"/>
      </rPr>
      <t xml:space="preserve"> </t>
    </r>
  </si>
  <si>
    <r>
      <t xml:space="preserve"> </t>
    </r>
    <r>
      <rPr>
        <sz val="12"/>
        <color indexed="63"/>
        <rFont val="Calibri"/>
        <family val="2"/>
        <scheme val="minor"/>
      </rPr>
      <t xml:space="preserve">tongue &amp; groove </t>
    </r>
    <r>
      <rPr>
        <sz val="12"/>
        <rFont val="Calibri"/>
        <family val="2"/>
        <scheme val="minor"/>
      </rPr>
      <t xml:space="preserve"> </t>
    </r>
  </si>
  <si>
    <r>
      <t xml:space="preserve"> </t>
    </r>
    <r>
      <rPr>
        <sz val="12"/>
        <color indexed="63"/>
        <rFont val="Calibri"/>
        <family val="2"/>
        <scheme val="minor"/>
      </rPr>
      <t xml:space="preserve">10 - 14 </t>
    </r>
    <r>
      <rPr>
        <sz val="12"/>
        <rFont val="Calibri"/>
        <family val="2"/>
        <scheme val="minor"/>
      </rPr>
      <t xml:space="preserve"> </t>
    </r>
  </si>
  <si>
    <r>
      <t xml:space="preserve"> </t>
    </r>
    <r>
      <rPr>
        <sz val="12"/>
        <color indexed="63"/>
        <rFont val="Calibri"/>
        <family val="2"/>
        <scheme val="minor"/>
      </rPr>
      <t xml:space="preserve">2 </t>
    </r>
    <r>
      <rPr>
        <sz val="12"/>
        <rFont val="Calibri"/>
        <family val="2"/>
        <scheme val="minor"/>
      </rPr>
      <t xml:space="preserve"> </t>
    </r>
  </si>
  <si>
    <r>
      <t xml:space="preserve"> </t>
    </r>
    <r>
      <rPr>
        <sz val="12"/>
        <color indexed="63"/>
        <rFont val="Calibri"/>
        <family val="2"/>
        <scheme val="minor"/>
      </rPr>
      <t xml:space="preserve">knock down </t>
    </r>
    <r>
      <rPr>
        <sz val="12"/>
        <rFont val="Calibri"/>
        <family val="2"/>
        <scheme val="minor"/>
      </rPr>
      <t xml:space="preserve"> </t>
    </r>
  </si>
  <si>
    <r>
      <t xml:space="preserve"> </t>
    </r>
    <r>
      <rPr>
        <sz val="12"/>
        <color indexed="63"/>
        <rFont val="Calibri"/>
        <family val="2"/>
        <scheme val="minor"/>
      </rPr>
      <t xml:space="preserve">2+ </t>
    </r>
    <r>
      <rPr>
        <sz val="12"/>
        <rFont val="Calibri"/>
        <family val="2"/>
        <scheme val="minor"/>
      </rPr>
      <t xml:space="preserve"> </t>
    </r>
  </si>
  <si>
    <r>
      <t xml:space="preserve"> </t>
    </r>
    <r>
      <rPr>
        <sz val="12"/>
        <color indexed="63"/>
        <rFont val="Calibri"/>
        <family val="2"/>
        <scheme val="minor"/>
      </rPr>
      <t xml:space="preserve">15+ </t>
    </r>
    <r>
      <rPr>
        <sz val="12"/>
        <rFont val="Calibri"/>
        <family val="2"/>
        <scheme val="minor"/>
      </rPr>
      <t xml:space="preserve"> </t>
    </r>
  </si>
  <si>
    <r>
      <t xml:space="preserve"> </t>
    </r>
    <r>
      <rPr>
        <sz val="12"/>
        <color indexed="63"/>
        <rFont val="Calibri"/>
        <family val="2"/>
        <scheme val="minor"/>
      </rPr>
      <t xml:space="preserve">3+ </t>
    </r>
    <r>
      <rPr>
        <sz val="12"/>
        <rFont val="Calibri"/>
        <family val="2"/>
        <scheme val="minor"/>
      </rPr>
      <t xml:space="preserve"> </t>
    </r>
  </si>
  <si>
    <r>
      <rPr>
        <b/>
        <sz val="12"/>
        <color indexed="63"/>
        <rFont val="Calibri"/>
        <family val="2"/>
        <scheme val="minor"/>
      </rPr>
      <t xml:space="preserve">crew size </t>
    </r>
    <r>
      <rPr>
        <sz val="12"/>
        <rFont val="Calibri"/>
        <family val="2"/>
        <scheme val="minor"/>
      </rPr>
      <t xml:space="preserve"> </t>
    </r>
  </si>
  <si>
    <r>
      <t xml:space="preserve"> </t>
    </r>
    <r>
      <rPr>
        <b/>
        <sz val="12"/>
        <color indexed="63"/>
        <rFont val="Calibri"/>
        <family val="2"/>
        <scheme val="minor"/>
      </rPr>
      <t xml:space="preserve">Bottom course on a: </t>
    </r>
    <r>
      <rPr>
        <sz val="12"/>
        <rFont val="Calibri"/>
        <family val="2"/>
        <scheme val="minor"/>
      </rPr>
      <t xml:space="preserve"> </t>
    </r>
  </si>
  <si>
    <r>
      <t xml:space="preserve"> </t>
    </r>
    <r>
      <rPr>
        <b/>
        <sz val="12"/>
        <color indexed="63"/>
        <rFont val="Calibri"/>
        <family val="2"/>
        <scheme val="minor"/>
      </rPr>
      <t xml:space="preserve">Concrete placement type </t>
    </r>
    <r>
      <rPr>
        <sz val="12"/>
        <rFont val="Calibri"/>
        <family val="2"/>
        <scheme val="minor"/>
      </rPr>
      <t xml:space="preserve"> </t>
    </r>
  </si>
  <si>
    <r>
      <t xml:space="preserve"> </t>
    </r>
    <r>
      <rPr>
        <b/>
        <sz val="12"/>
        <color indexed="63"/>
        <rFont val="Calibri"/>
        <family val="2"/>
        <scheme val="minor"/>
      </rPr>
      <t xml:space="preserve">Dimensions are BB friendly </t>
    </r>
    <r>
      <rPr>
        <sz val="12"/>
        <rFont val="Calibri"/>
        <family val="2"/>
        <scheme val="minor"/>
      </rPr>
      <t xml:space="preserve"> </t>
    </r>
  </si>
  <si>
    <r>
      <t xml:space="preserve"> </t>
    </r>
    <r>
      <rPr>
        <sz val="12"/>
        <color indexed="63"/>
        <rFont val="Calibri"/>
        <family val="2"/>
        <scheme val="minor"/>
      </rPr>
      <t xml:space="preserve">1 - 4 </t>
    </r>
    <r>
      <rPr>
        <sz val="12"/>
        <rFont val="Calibri"/>
        <family val="2"/>
        <scheme val="minor"/>
      </rPr>
      <t xml:space="preserve"> </t>
    </r>
  </si>
  <si>
    <r>
      <t xml:space="preserve"> </t>
    </r>
    <r>
      <rPr>
        <sz val="12"/>
        <color indexed="63"/>
        <rFont val="Calibri"/>
        <family val="2"/>
        <scheme val="minor"/>
      </rPr>
      <t xml:space="preserve">slab </t>
    </r>
    <r>
      <rPr>
        <sz val="12"/>
        <rFont val="Calibri"/>
        <family val="2"/>
        <scheme val="minor"/>
      </rPr>
      <t xml:space="preserve"> </t>
    </r>
  </si>
  <si>
    <r>
      <t xml:space="preserve"> </t>
    </r>
    <r>
      <rPr>
        <sz val="12"/>
        <color indexed="63"/>
        <rFont val="Calibri"/>
        <family val="2"/>
        <scheme val="minor"/>
      </rPr>
      <t xml:space="preserve">boom pump </t>
    </r>
    <r>
      <rPr>
        <sz val="12"/>
        <rFont val="Calibri"/>
        <family val="2"/>
        <scheme val="minor"/>
      </rPr>
      <t xml:space="preserve"> </t>
    </r>
  </si>
  <si>
    <r>
      <t xml:space="preserve"> </t>
    </r>
    <r>
      <rPr>
        <sz val="12"/>
        <color indexed="63"/>
        <rFont val="Calibri"/>
        <family val="2"/>
        <scheme val="minor"/>
      </rPr>
      <t xml:space="preserve">6” increments </t>
    </r>
    <r>
      <rPr>
        <sz val="12"/>
        <rFont val="Calibri"/>
        <family val="2"/>
        <scheme val="minor"/>
      </rPr>
      <t xml:space="preserve"> </t>
    </r>
  </si>
  <si>
    <r>
      <t xml:space="preserve"> </t>
    </r>
    <r>
      <rPr>
        <sz val="12"/>
        <color indexed="63"/>
        <rFont val="Calibri"/>
        <family val="2"/>
        <scheme val="minor"/>
      </rPr>
      <t xml:space="preserve">5 - 10 </t>
    </r>
    <r>
      <rPr>
        <sz val="12"/>
        <rFont val="Calibri"/>
        <family val="2"/>
        <scheme val="minor"/>
      </rPr>
      <t xml:space="preserve"> </t>
    </r>
  </si>
  <si>
    <r>
      <t xml:space="preserve"> </t>
    </r>
    <r>
      <rPr>
        <sz val="12"/>
        <color indexed="63"/>
        <rFont val="Calibri"/>
        <family val="2"/>
        <scheme val="minor"/>
      </rPr>
      <t xml:space="preserve">strip footing </t>
    </r>
    <r>
      <rPr>
        <sz val="12"/>
        <rFont val="Calibri"/>
        <family val="2"/>
        <scheme val="minor"/>
      </rPr>
      <t xml:space="preserve"> </t>
    </r>
  </si>
  <si>
    <r>
      <t xml:space="preserve"> </t>
    </r>
    <r>
      <rPr>
        <sz val="12"/>
        <color indexed="63"/>
        <rFont val="Calibri"/>
        <family val="2"/>
        <scheme val="minor"/>
      </rPr>
      <t xml:space="preserve">chute </t>
    </r>
    <r>
      <rPr>
        <sz val="12"/>
        <rFont val="Calibri"/>
        <family val="2"/>
        <scheme val="minor"/>
      </rPr>
      <t xml:space="preserve"> </t>
    </r>
  </si>
  <si>
    <r>
      <t xml:space="preserve"> </t>
    </r>
    <r>
      <rPr>
        <sz val="12"/>
        <color indexed="63"/>
        <rFont val="Calibri"/>
        <family val="2"/>
        <scheme val="minor"/>
      </rPr>
      <t xml:space="preserve">non 6” increments </t>
    </r>
    <r>
      <rPr>
        <sz val="12"/>
        <rFont val="Calibri"/>
        <family val="2"/>
        <scheme val="minor"/>
      </rPr>
      <t xml:space="preserve"> </t>
    </r>
  </si>
  <si>
    <r>
      <t xml:space="preserve"> </t>
    </r>
    <r>
      <rPr>
        <sz val="12"/>
        <color indexed="63"/>
        <rFont val="Calibri"/>
        <family val="2"/>
        <scheme val="minor"/>
      </rPr>
      <t xml:space="preserve">piles/step footings </t>
    </r>
    <r>
      <rPr>
        <sz val="12"/>
        <rFont val="Calibri"/>
        <family val="2"/>
        <scheme val="minor"/>
      </rPr>
      <t xml:space="preserve"> </t>
    </r>
  </si>
  <si>
    <r>
      <t xml:space="preserve"> </t>
    </r>
    <r>
      <rPr>
        <sz val="12"/>
        <color indexed="63"/>
        <rFont val="Calibri"/>
        <family val="2"/>
        <scheme val="minor"/>
      </rPr>
      <t xml:space="preserve">crane / bucket or line pump </t>
    </r>
    <r>
      <rPr>
        <sz val="12"/>
        <rFont val="Calibri"/>
        <family val="2"/>
        <scheme val="minor"/>
      </rPr>
      <t xml:space="preserve"> </t>
    </r>
  </si>
  <si>
    <r>
      <t xml:space="preserve"> </t>
    </r>
    <r>
      <rPr>
        <sz val="12"/>
        <color indexed="63"/>
        <rFont val="Calibri"/>
        <family val="2"/>
        <scheme val="minor"/>
      </rPr>
      <t xml:space="preserve">3+ wall lengths &lt; 3’ </t>
    </r>
    <r>
      <rPr>
        <sz val="12"/>
        <rFont val="Calibri"/>
        <family val="2"/>
        <scheme val="minor"/>
      </rPr>
      <t xml:space="preserve"> </t>
    </r>
  </si>
  <si>
    <r>
      <t xml:space="preserve"> </t>
    </r>
    <r>
      <rPr>
        <sz val="12"/>
        <color indexed="63"/>
        <rFont val="Calibri"/>
        <family val="2"/>
        <scheme val="minor"/>
      </rPr>
      <t xml:space="preserve">Total Building Rate (add all sections) </t>
    </r>
    <r>
      <rPr>
        <sz val="12"/>
        <rFont val="Calibri"/>
        <family val="2"/>
        <scheme val="minor"/>
      </rPr>
      <t xml:space="preserve"> </t>
    </r>
  </si>
  <si>
    <t>Answer each of the 20 categories by indicating the rating point that best matches the specific project.</t>
  </si>
  <si>
    <t>Add the total for each row, and then total all the points for the Total Project Rating.</t>
  </si>
  <si>
    <t>Select from the Man Hour Rate chart the MH/GSF.</t>
  </si>
  <si>
    <t>Multiply the MH/GSF by the gross sq. ft. of ICF wall in the whole project (do not deduct for openings) example: 0.07 x 2,286 sq. ft. = 160 man hours</t>
  </si>
  <si>
    <t>Divide the total man hours by the crew size example: 160 man hours / 4 crew = 40 hours to complete project.</t>
  </si>
  <si>
    <r>
      <t xml:space="preserve"> </t>
    </r>
    <r>
      <rPr>
        <b/>
        <sz val="12"/>
        <color indexed="63"/>
        <rFont val="Calibri"/>
        <family val="2"/>
        <scheme val="minor"/>
      </rPr>
      <t xml:space="preserve">Building Rate </t>
    </r>
    <r>
      <rPr>
        <sz val="12"/>
        <rFont val="Calibri"/>
        <family val="2"/>
        <scheme val="minor"/>
      </rPr>
      <t xml:space="preserve"> </t>
    </r>
  </si>
  <si>
    <r>
      <t xml:space="preserve"> </t>
    </r>
    <r>
      <rPr>
        <b/>
        <sz val="12"/>
        <color indexed="63"/>
        <rFont val="Calibri"/>
        <family val="2"/>
        <scheme val="minor"/>
      </rPr>
      <t xml:space="preserve">MH / GSF Rate </t>
    </r>
    <r>
      <rPr>
        <sz val="12"/>
        <rFont val="Calibri"/>
        <family val="2"/>
        <scheme val="minor"/>
      </rPr>
      <t xml:space="preserve"> </t>
    </r>
  </si>
  <si>
    <r>
      <t xml:space="preserve"> </t>
    </r>
    <r>
      <rPr>
        <sz val="12"/>
        <color indexed="63"/>
        <rFont val="Calibri"/>
        <family val="2"/>
        <scheme val="minor"/>
      </rPr>
      <t xml:space="preserve">20 </t>
    </r>
    <r>
      <rPr>
        <sz val="12"/>
        <rFont val="Calibri"/>
        <family val="2"/>
        <scheme val="minor"/>
      </rPr>
      <t xml:space="preserve"> </t>
    </r>
  </si>
  <si>
    <r>
      <t xml:space="preserve"> </t>
    </r>
    <r>
      <rPr>
        <sz val="12"/>
        <color indexed="63"/>
        <rFont val="Calibri"/>
        <family val="2"/>
        <scheme val="minor"/>
      </rPr>
      <t xml:space="preserve">0.03 </t>
    </r>
    <r>
      <rPr>
        <sz val="12"/>
        <rFont val="Calibri"/>
        <family val="2"/>
        <scheme val="minor"/>
      </rPr>
      <t xml:space="preserve"> </t>
    </r>
  </si>
  <si>
    <r>
      <t xml:space="preserve"> </t>
    </r>
    <r>
      <rPr>
        <sz val="12"/>
        <color indexed="63"/>
        <rFont val="Calibri"/>
        <family val="2"/>
        <scheme val="minor"/>
      </rPr>
      <t xml:space="preserve">21 - 24 </t>
    </r>
    <r>
      <rPr>
        <sz val="12"/>
        <rFont val="Calibri"/>
        <family val="2"/>
        <scheme val="minor"/>
      </rPr>
      <t xml:space="preserve"> </t>
    </r>
  </si>
  <si>
    <r>
      <t xml:space="preserve"> </t>
    </r>
    <r>
      <rPr>
        <sz val="12"/>
        <color indexed="63"/>
        <rFont val="Calibri"/>
        <family val="2"/>
        <scheme val="minor"/>
      </rPr>
      <t xml:space="preserve">0.04 </t>
    </r>
    <r>
      <rPr>
        <sz val="12"/>
        <rFont val="Calibri"/>
        <family val="2"/>
        <scheme val="minor"/>
      </rPr>
      <t xml:space="preserve"> </t>
    </r>
  </si>
  <si>
    <r>
      <t xml:space="preserve"> </t>
    </r>
    <r>
      <rPr>
        <sz val="12"/>
        <color indexed="63"/>
        <rFont val="Calibri"/>
        <family val="2"/>
        <scheme val="minor"/>
      </rPr>
      <t xml:space="preserve">25 - 28 </t>
    </r>
    <r>
      <rPr>
        <sz val="12"/>
        <rFont val="Calibri"/>
        <family val="2"/>
        <scheme val="minor"/>
      </rPr>
      <t xml:space="preserve"> </t>
    </r>
  </si>
  <si>
    <r>
      <t xml:space="preserve"> </t>
    </r>
    <r>
      <rPr>
        <sz val="12"/>
        <color indexed="63"/>
        <rFont val="Calibri"/>
        <family val="2"/>
        <scheme val="minor"/>
      </rPr>
      <t xml:space="preserve">0.05 </t>
    </r>
    <r>
      <rPr>
        <sz val="12"/>
        <rFont val="Calibri"/>
        <family val="2"/>
        <scheme val="minor"/>
      </rPr>
      <t xml:space="preserve"> </t>
    </r>
  </si>
  <si>
    <r>
      <t xml:space="preserve"> </t>
    </r>
    <r>
      <rPr>
        <sz val="12"/>
        <color indexed="63"/>
        <rFont val="Calibri"/>
        <family val="2"/>
        <scheme val="minor"/>
      </rPr>
      <t xml:space="preserve">29 - 32 </t>
    </r>
    <r>
      <rPr>
        <sz val="12"/>
        <rFont val="Calibri"/>
        <family val="2"/>
        <scheme val="minor"/>
      </rPr>
      <t xml:space="preserve"> </t>
    </r>
  </si>
  <si>
    <r>
      <t xml:space="preserve"> </t>
    </r>
    <r>
      <rPr>
        <sz val="12"/>
        <color indexed="63"/>
        <rFont val="Calibri"/>
        <family val="2"/>
        <scheme val="minor"/>
      </rPr>
      <t xml:space="preserve">0.06 </t>
    </r>
    <r>
      <rPr>
        <sz val="12"/>
        <rFont val="Calibri"/>
        <family val="2"/>
        <scheme val="minor"/>
      </rPr>
      <t xml:space="preserve"> </t>
    </r>
  </si>
  <si>
    <r>
      <t xml:space="preserve"> </t>
    </r>
    <r>
      <rPr>
        <sz val="12"/>
        <color indexed="63"/>
        <rFont val="Calibri"/>
        <family val="2"/>
        <scheme val="minor"/>
      </rPr>
      <t xml:space="preserve">33 - 36 </t>
    </r>
    <r>
      <rPr>
        <sz val="12"/>
        <rFont val="Calibri"/>
        <family val="2"/>
        <scheme val="minor"/>
      </rPr>
      <t xml:space="preserve"> </t>
    </r>
  </si>
  <si>
    <r>
      <t xml:space="preserve"> </t>
    </r>
    <r>
      <rPr>
        <sz val="12"/>
        <color indexed="63"/>
        <rFont val="Calibri"/>
        <family val="2"/>
        <scheme val="minor"/>
      </rPr>
      <t xml:space="preserve">0.07 </t>
    </r>
    <r>
      <rPr>
        <sz val="12"/>
        <rFont val="Calibri"/>
        <family val="2"/>
        <scheme val="minor"/>
      </rPr>
      <t xml:space="preserve"> </t>
    </r>
  </si>
  <si>
    <r>
      <t xml:space="preserve"> </t>
    </r>
    <r>
      <rPr>
        <sz val="12"/>
        <color indexed="63"/>
        <rFont val="Calibri"/>
        <family val="2"/>
        <scheme val="minor"/>
      </rPr>
      <t xml:space="preserve">37 - 38 </t>
    </r>
    <r>
      <rPr>
        <sz val="12"/>
        <rFont val="Calibri"/>
        <family val="2"/>
        <scheme val="minor"/>
      </rPr>
      <t xml:space="preserve"> </t>
    </r>
  </si>
  <si>
    <r>
      <t xml:space="preserve"> </t>
    </r>
    <r>
      <rPr>
        <sz val="12"/>
        <color indexed="63"/>
        <rFont val="Calibri"/>
        <family val="2"/>
        <scheme val="minor"/>
      </rPr>
      <t xml:space="preserve">0.08 </t>
    </r>
    <r>
      <rPr>
        <sz val="12"/>
        <rFont val="Calibri"/>
        <family val="2"/>
        <scheme val="minor"/>
      </rPr>
      <t xml:space="preserve"> </t>
    </r>
  </si>
  <si>
    <r>
      <t xml:space="preserve"> </t>
    </r>
    <r>
      <rPr>
        <sz val="12"/>
        <color indexed="63"/>
        <rFont val="Calibri"/>
        <family val="2"/>
        <scheme val="minor"/>
      </rPr>
      <t xml:space="preserve">39 - 40 </t>
    </r>
    <r>
      <rPr>
        <sz val="12"/>
        <rFont val="Calibri"/>
        <family val="2"/>
        <scheme val="minor"/>
      </rPr>
      <t xml:space="preserve"> </t>
    </r>
  </si>
  <si>
    <r>
      <t xml:space="preserve"> </t>
    </r>
    <r>
      <rPr>
        <sz val="12"/>
        <color indexed="63"/>
        <rFont val="Calibri"/>
        <family val="2"/>
        <scheme val="minor"/>
      </rPr>
      <t xml:space="preserve">0.09 </t>
    </r>
    <r>
      <rPr>
        <sz val="12"/>
        <rFont val="Calibri"/>
        <family val="2"/>
        <scheme val="minor"/>
      </rPr>
      <t xml:space="preserve"> </t>
    </r>
  </si>
  <si>
    <r>
      <t xml:space="preserve"> </t>
    </r>
    <r>
      <rPr>
        <sz val="12"/>
        <color indexed="63"/>
        <rFont val="Calibri"/>
        <family val="2"/>
        <scheme val="minor"/>
      </rPr>
      <t xml:space="preserve">41 - 42 </t>
    </r>
    <r>
      <rPr>
        <sz val="12"/>
        <rFont val="Calibri"/>
        <family val="2"/>
        <scheme val="minor"/>
      </rPr>
      <t xml:space="preserve"> </t>
    </r>
  </si>
  <si>
    <r>
      <t xml:space="preserve"> </t>
    </r>
    <r>
      <rPr>
        <sz val="12"/>
        <color indexed="63"/>
        <rFont val="Calibri"/>
        <family val="2"/>
        <scheme val="minor"/>
      </rPr>
      <t xml:space="preserve">0.10 </t>
    </r>
    <r>
      <rPr>
        <sz val="12"/>
        <rFont val="Calibri"/>
        <family val="2"/>
        <scheme val="minor"/>
      </rPr>
      <t xml:space="preserve"> </t>
    </r>
  </si>
  <si>
    <r>
      <t xml:space="preserve"> </t>
    </r>
    <r>
      <rPr>
        <sz val="12"/>
        <color indexed="63"/>
        <rFont val="Calibri"/>
        <family val="2"/>
        <scheme val="minor"/>
      </rPr>
      <t xml:space="preserve">43 - 44 </t>
    </r>
    <r>
      <rPr>
        <sz val="12"/>
        <rFont val="Calibri"/>
        <family val="2"/>
        <scheme val="minor"/>
      </rPr>
      <t xml:space="preserve"> </t>
    </r>
  </si>
  <si>
    <r>
      <t xml:space="preserve"> </t>
    </r>
    <r>
      <rPr>
        <sz val="12"/>
        <color indexed="63"/>
        <rFont val="Calibri"/>
        <family val="2"/>
        <scheme val="minor"/>
      </rPr>
      <t xml:space="preserve">0.11 </t>
    </r>
    <r>
      <rPr>
        <sz val="12"/>
        <rFont val="Calibri"/>
        <family val="2"/>
        <scheme val="minor"/>
      </rPr>
      <t xml:space="preserve"> </t>
    </r>
  </si>
  <si>
    <r>
      <t xml:space="preserve"> </t>
    </r>
    <r>
      <rPr>
        <sz val="12"/>
        <color indexed="63"/>
        <rFont val="Calibri"/>
        <family val="2"/>
        <scheme val="minor"/>
      </rPr>
      <t xml:space="preserve">45 - 47 </t>
    </r>
    <r>
      <rPr>
        <sz val="12"/>
        <rFont val="Calibri"/>
        <family val="2"/>
        <scheme val="minor"/>
      </rPr>
      <t xml:space="preserve"> </t>
    </r>
  </si>
  <si>
    <r>
      <t xml:space="preserve"> </t>
    </r>
    <r>
      <rPr>
        <sz val="12"/>
        <color indexed="63"/>
        <rFont val="Calibri"/>
        <family val="2"/>
        <scheme val="minor"/>
      </rPr>
      <t xml:space="preserve">0.12 </t>
    </r>
    <r>
      <rPr>
        <sz val="12"/>
        <rFont val="Calibri"/>
        <family val="2"/>
        <scheme val="minor"/>
      </rPr>
      <t xml:space="preserve"> </t>
    </r>
  </si>
  <si>
    <r>
      <t xml:space="preserve"> </t>
    </r>
    <r>
      <rPr>
        <sz val="12"/>
        <color indexed="63"/>
        <rFont val="Calibri"/>
        <family val="2"/>
        <scheme val="minor"/>
      </rPr>
      <t xml:space="preserve">48 - 50 </t>
    </r>
    <r>
      <rPr>
        <sz val="12"/>
        <rFont val="Calibri"/>
        <family val="2"/>
        <scheme val="minor"/>
      </rPr>
      <t xml:space="preserve"> </t>
    </r>
  </si>
  <si>
    <r>
      <t xml:space="preserve"> </t>
    </r>
    <r>
      <rPr>
        <sz val="12"/>
        <color indexed="63"/>
        <rFont val="Calibri"/>
        <family val="2"/>
        <scheme val="minor"/>
      </rPr>
      <t xml:space="preserve">0.13 </t>
    </r>
    <r>
      <rPr>
        <sz val="12"/>
        <rFont val="Calibri"/>
        <family val="2"/>
        <scheme val="minor"/>
      </rPr>
      <t xml:space="preserve"> </t>
    </r>
  </si>
  <si>
    <r>
      <t xml:space="preserve"> </t>
    </r>
    <r>
      <rPr>
        <sz val="12"/>
        <color indexed="63"/>
        <rFont val="Calibri"/>
        <family val="2"/>
        <scheme val="minor"/>
      </rPr>
      <t xml:space="preserve">51 - 55 </t>
    </r>
    <r>
      <rPr>
        <sz val="12"/>
        <rFont val="Calibri"/>
        <family val="2"/>
        <scheme val="minor"/>
      </rPr>
      <t xml:space="preserve"> </t>
    </r>
  </si>
  <si>
    <r>
      <t xml:space="preserve"> </t>
    </r>
    <r>
      <rPr>
        <sz val="12"/>
        <color indexed="63"/>
        <rFont val="Calibri"/>
        <family val="2"/>
        <scheme val="minor"/>
      </rPr>
      <t xml:space="preserve">0.14 </t>
    </r>
    <r>
      <rPr>
        <sz val="12"/>
        <rFont val="Calibri"/>
        <family val="2"/>
        <scheme val="minor"/>
      </rPr>
      <t xml:space="preserve"> </t>
    </r>
  </si>
  <si>
    <r>
      <t xml:space="preserve"> </t>
    </r>
    <r>
      <rPr>
        <sz val="12"/>
        <color indexed="63"/>
        <rFont val="Calibri"/>
        <family val="2"/>
        <scheme val="minor"/>
      </rPr>
      <t xml:space="preserve">56 - 61 </t>
    </r>
    <r>
      <rPr>
        <sz val="12"/>
        <rFont val="Calibri"/>
        <family val="2"/>
        <scheme val="minor"/>
      </rPr>
      <t xml:space="preserve"> </t>
    </r>
  </si>
  <si>
    <r>
      <t xml:space="preserve"> </t>
    </r>
    <r>
      <rPr>
        <sz val="12"/>
        <color indexed="63"/>
        <rFont val="Calibri"/>
        <family val="2"/>
        <scheme val="minor"/>
      </rPr>
      <t xml:space="preserve">0.15 </t>
    </r>
    <r>
      <rPr>
        <sz val="12"/>
        <rFont val="Calibri"/>
        <family val="2"/>
        <scheme val="minor"/>
      </rPr>
      <t xml:space="preserve"> </t>
    </r>
  </si>
  <si>
    <r>
      <t xml:space="preserve"> </t>
    </r>
    <r>
      <rPr>
        <sz val="12"/>
        <color indexed="63"/>
        <rFont val="Calibri"/>
        <family val="2"/>
        <scheme val="minor"/>
      </rPr>
      <t xml:space="preserve">62 - 67 </t>
    </r>
    <r>
      <rPr>
        <sz val="12"/>
        <rFont val="Calibri"/>
        <family val="2"/>
        <scheme val="minor"/>
      </rPr>
      <t xml:space="preserve"> </t>
    </r>
  </si>
  <si>
    <r>
      <t xml:space="preserve"> </t>
    </r>
    <r>
      <rPr>
        <sz val="12"/>
        <color indexed="63"/>
        <rFont val="Calibri"/>
        <family val="2"/>
        <scheme val="minor"/>
      </rPr>
      <t xml:space="preserve">0.16 </t>
    </r>
    <r>
      <rPr>
        <sz val="12"/>
        <rFont val="Calibri"/>
        <family val="2"/>
        <scheme val="minor"/>
      </rPr>
      <t xml:space="preserve"> </t>
    </r>
  </si>
  <si>
    <r>
      <t xml:space="preserve"> </t>
    </r>
    <r>
      <rPr>
        <sz val="12"/>
        <color indexed="63"/>
        <rFont val="Calibri"/>
        <family val="2"/>
        <scheme val="minor"/>
      </rPr>
      <t xml:space="preserve">68 - 73 </t>
    </r>
    <r>
      <rPr>
        <sz val="12"/>
        <rFont val="Calibri"/>
        <family val="2"/>
        <scheme val="minor"/>
      </rPr>
      <t xml:space="preserve"> </t>
    </r>
  </si>
  <si>
    <r>
      <t xml:space="preserve"> </t>
    </r>
    <r>
      <rPr>
        <sz val="12"/>
        <color indexed="63"/>
        <rFont val="Calibri"/>
        <family val="2"/>
        <scheme val="minor"/>
      </rPr>
      <t xml:space="preserve">0.17 </t>
    </r>
    <r>
      <rPr>
        <sz val="12"/>
        <rFont val="Calibri"/>
        <family val="2"/>
        <scheme val="minor"/>
      </rPr>
      <t xml:space="preserve"> </t>
    </r>
  </si>
  <si>
    <r>
      <t xml:space="preserve"> </t>
    </r>
    <r>
      <rPr>
        <sz val="12"/>
        <color indexed="63"/>
        <rFont val="Calibri"/>
        <family val="2"/>
        <scheme val="minor"/>
      </rPr>
      <t xml:space="preserve">74 - 79 </t>
    </r>
    <r>
      <rPr>
        <sz val="12"/>
        <rFont val="Calibri"/>
        <family val="2"/>
        <scheme val="minor"/>
      </rPr>
      <t xml:space="preserve"> </t>
    </r>
  </si>
  <si>
    <r>
      <t xml:space="preserve"> </t>
    </r>
    <r>
      <rPr>
        <sz val="12"/>
        <color indexed="63"/>
        <rFont val="Calibri"/>
        <family val="2"/>
        <scheme val="minor"/>
      </rPr>
      <t xml:space="preserve">0.18 </t>
    </r>
    <r>
      <rPr>
        <sz val="12"/>
        <rFont val="Calibri"/>
        <family val="2"/>
        <scheme val="minor"/>
      </rPr>
      <t xml:space="preserve"> </t>
    </r>
  </si>
  <si>
    <r>
      <t xml:space="preserve"> </t>
    </r>
    <r>
      <rPr>
        <sz val="12"/>
        <color indexed="63"/>
        <rFont val="Calibri"/>
        <family val="2"/>
        <scheme val="minor"/>
      </rPr>
      <t xml:space="preserve">80 - 82 </t>
    </r>
    <r>
      <rPr>
        <sz val="12"/>
        <rFont val="Calibri"/>
        <family val="2"/>
        <scheme val="minor"/>
      </rPr>
      <t xml:space="preserve"> </t>
    </r>
  </si>
  <si>
    <r>
      <t xml:space="preserve"> </t>
    </r>
    <r>
      <rPr>
        <sz val="12"/>
        <color indexed="63"/>
        <rFont val="Calibri"/>
        <family val="2"/>
        <scheme val="minor"/>
      </rPr>
      <t xml:space="preserve">0.19 </t>
    </r>
    <r>
      <rPr>
        <sz val="12"/>
        <rFont val="Calibri"/>
        <family val="2"/>
        <scheme val="minor"/>
      </rPr>
      <t xml:space="preserve"> </t>
    </r>
  </si>
  <si>
    <r>
      <t xml:space="preserve"> </t>
    </r>
    <r>
      <rPr>
        <sz val="12"/>
        <color indexed="63"/>
        <rFont val="Calibri"/>
        <family val="2"/>
        <scheme val="minor"/>
      </rPr>
      <t xml:space="preserve">83 - 84 </t>
    </r>
    <r>
      <rPr>
        <sz val="12"/>
        <rFont val="Calibri"/>
        <family val="2"/>
        <scheme val="minor"/>
      </rPr>
      <t xml:space="preserve"> </t>
    </r>
  </si>
  <si>
    <r>
      <t xml:space="preserve"> </t>
    </r>
    <r>
      <rPr>
        <sz val="12"/>
        <color indexed="63"/>
        <rFont val="Calibri"/>
        <family val="2"/>
        <scheme val="minor"/>
      </rPr>
      <t xml:space="preserve">0.20 </t>
    </r>
    <r>
      <rPr>
        <sz val="12"/>
        <rFont val="Calibri"/>
        <family val="2"/>
        <scheme val="minor"/>
      </rPr>
      <t xml:space="preserve"> </t>
    </r>
  </si>
  <si>
    <t>ICFVL Calculator</t>
  </si>
  <si>
    <t>Uniform Loads</t>
  </si>
  <si>
    <t>ICFVL Spacing for Wood Ledgers</t>
  </si>
  <si>
    <t>Dead Load (psf)</t>
  </si>
  <si>
    <t>Live Load (psf)</t>
  </si>
  <si>
    <t>Joist Span</t>
  </si>
  <si>
    <t>ICFVL Spacing for Steel Ledgers</t>
  </si>
  <si>
    <t>GlobalBlock Core</t>
  </si>
  <si>
    <t>Linear Feet of GlobalBlock Wall</t>
  </si>
  <si>
    <t># of GlobalBlock Corners</t>
  </si>
  <si>
    <t># of Courses</t>
  </si>
  <si>
    <t># of GlobalBlock Webs</t>
  </si>
  <si>
    <t># of GlobalBlock Starter Webs</t>
  </si>
  <si>
    <t># of Standard Web Cases to Substitute as Starters</t>
  </si>
  <si>
    <t>Bundles of Forms</t>
  </si>
  <si>
    <t>Straight</t>
  </si>
  <si>
    <t>Corner</t>
  </si>
  <si>
    <t>Standard webs</t>
  </si>
  <si>
    <t>Block Core</t>
  </si>
  <si>
    <t>Face Width (ext)</t>
  </si>
  <si>
    <t>Radius (ext. face)</t>
  </si>
  <si>
    <t>Radius (int. face)</t>
  </si>
  <si>
    <t>Face Width (int)</t>
  </si>
  <si>
    <t>Gross Wall Square Feet</t>
  </si>
  <si>
    <t>Gross Square Footage</t>
  </si>
  <si>
    <t>Net Square Footage</t>
  </si>
  <si>
    <t>Opening Square Footage</t>
  </si>
  <si>
    <t>Estimator</t>
  </si>
  <si>
    <t>Arc Length AB</t>
  </si>
  <si>
    <t>Pilaster Calculator</t>
  </si>
  <si>
    <t>Leg Linear</t>
  </si>
  <si>
    <t>Width Linear</t>
  </si>
  <si>
    <t>Total Linear</t>
  </si>
  <si>
    <t>Height (Ft)</t>
  </si>
  <si>
    <t>Width (In)</t>
  </si>
  <si>
    <t>Leg Length B (In)</t>
  </si>
  <si>
    <t>Leg Length A (In)</t>
  </si>
  <si>
    <t>Webs</t>
  </si>
  <si>
    <t>Panels</t>
  </si>
  <si>
    <t>per course</t>
  </si>
  <si>
    <t>total webs</t>
  </si>
  <si>
    <t>Quantity</t>
  </si>
  <si>
    <t>Bridge Connectors</t>
  </si>
  <si>
    <t>Bundle/Carton</t>
  </si>
  <si>
    <t xml:space="preserve">Additional Panel Pairs </t>
  </si>
  <si>
    <t>Straight 1</t>
  </si>
  <si>
    <t>Straight 2</t>
  </si>
  <si>
    <t>Wall Core Width</t>
  </si>
  <si>
    <t>Web Options</t>
  </si>
  <si>
    <t>web Options</t>
  </si>
  <si>
    <t>Total Length</t>
  </si>
  <si>
    <t>2nd Bridge</t>
  </si>
  <si>
    <t>3rd Bridge</t>
  </si>
  <si>
    <t>2nd Bridge (Case)</t>
  </si>
  <si>
    <t>3rd Bridge (Case)</t>
  </si>
  <si>
    <t>Angles and cut dimensions for 16" sections on radius walls. (Dennis' Method)</t>
  </si>
  <si>
    <t>Hardwall Calculator</t>
  </si>
  <si>
    <t xml:space="preserve">Straight Forms </t>
  </si>
  <si>
    <t xml:space="preserve">Corner Forms </t>
  </si>
  <si>
    <t>Desired Thickness of Hardwall</t>
  </si>
  <si>
    <t>Corner Form In Use</t>
  </si>
  <si>
    <t>Forms From Estimate</t>
  </si>
  <si>
    <t>Inserts</t>
  </si>
  <si>
    <t>Bridges</t>
  </si>
  <si>
    <t>Bridge Size</t>
  </si>
  <si>
    <t>BuildLock Bundles w/ Bridges</t>
  </si>
  <si>
    <t>None</t>
  </si>
  <si>
    <t>Total Forms to Order</t>
  </si>
  <si>
    <t>Total Hardwall Forms</t>
  </si>
  <si>
    <t>Order to Place</t>
  </si>
  <si>
    <t>Straight Forms w/ Bridges</t>
  </si>
  <si>
    <t>Corners w/o Bridges</t>
  </si>
  <si>
    <t>Buck Linear Feet</t>
  </si>
  <si>
    <t>Deck Square Footage</t>
  </si>
  <si>
    <t>Linear Feet Buck</t>
  </si>
  <si>
    <t>Lintel Blocks</t>
  </si>
  <si>
    <t>Gable Height (in)</t>
  </si>
  <si>
    <t>Gable Ht (ft)</t>
  </si>
  <si>
    <r>
      <t xml:space="preserve">BBUCK-600 </t>
    </r>
    <r>
      <rPr>
        <sz val="6"/>
        <rFont val="Calibri"/>
        <family val="2"/>
        <scheme val="minor"/>
      </rPr>
      <t>(72 lineal feet Bundle)</t>
    </r>
  </si>
  <si>
    <r>
      <t xml:space="preserve">BBUCK-800 </t>
    </r>
    <r>
      <rPr>
        <sz val="6"/>
        <rFont val="Calibri"/>
        <family val="2"/>
      </rPr>
      <t>(64 lineal feet Bundle)</t>
    </r>
  </si>
  <si>
    <t>Polywall Peel &amp; Stick</t>
  </si>
  <si>
    <t>Poly Wall Peel &amp; Stick</t>
  </si>
  <si>
    <t>Foam Adhesive</t>
  </si>
  <si>
    <r>
      <t xml:space="preserve">Foam2Foam Combo Case </t>
    </r>
    <r>
      <rPr>
        <u/>
        <sz val="10"/>
        <color theme="10"/>
        <rFont val="Calibri"/>
        <family val="2"/>
      </rPr>
      <t>(11 cans Foam2Foam &amp; 1 can Foam2Foam Cleaner)</t>
    </r>
  </si>
  <si>
    <t>Other</t>
  </si>
  <si>
    <t>BuildBlock Building Systems LLC 101 West Hefner Rd. Ste 102 Oklahoma City, Ok 73114</t>
  </si>
  <si>
    <t xml:space="preserve">Name </t>
  </si>
  <si>
    <t xml:space="preserve">Number  </t>
  </si>
  <si>
    <r>
      <t xml:space="preserve">BBUCK-400 </t>
    </r>
    <r>
      <rPr>
        <sz val="6"/>
        <rFont val="Calibri"/>
        <family val="2"/>
        <scheme val="minor"/>
      </rPr>
      <t>(76 lineal feet Bundle)</t>
    </r>
  </si>
  <si>
    <t xml:space="preserve">Estimator </t>
  </si>
  <si>
    <t>Number</t>
  </si>
  <si>
    <t>Unprotect sheet by right clicking on Level 1 tab. Enter Name on Cell Y4 and Phone Number on Z4. You can enter multiple names in cell box Y5-12. Then click on the dropdown arrow on tab  K/L8 and select your name</t>
  </si>
  <si>
    <t>Zont Bracket with Bag - 1 pkg. of 20 pieces</t>
  </si>
  <si>
    <t>*All block must be ordered in Bundle Quantities.  **Pricing subject to change. ***Quote good for 30 days. ****Freight Quote good for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</si>
</sst>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quot;$&quot;#,##0.00"/>
    <numFmt numFmtId="165" formatCode="0.000%"/>
    <numFmt numFmtId="166" formatCode=";;;"/>
    <numFmt numFmtId="167" formatCode="[&lt;=9999999]###\-####;\(###\)\ ###\-####"/>
    <numFmt numFmtId="168" formatCode="#0&quot; Panels&quot;"/>
    <numFmt numFmtId="169" formatCode="#0&quot; SqFt&quot;"/>
    <numFmt numFmtId="170" formatCode="#0&quot; Cubic Yards&quot;"/>
    <numFmt numFmtId="171" formatCode="#0&quot; ft&quot;"/>
    <numFmt numFmtId="172" formatCode="#0&quot; in&quot;"/>
    <numFmt numFmtId="173" formatCode="#0&quot; in Cap&quot;"/>
    <numFmt numFmtId="174" formatCode="#0&quot; CuYd&quot;"/>
    <numFmt numFmtId="175" formatCode="#0&quot; / 12&quot;"/>
    <numFmt numFmtId="176" formatCode="#0&quot; Blocks&quot;"/>
    <numFmt numFmtId="177" formatCode="#0.00&quot;  ft&quot;"/>
    <numFmt numFmtId="178" formatCode="&quot;# &quot;#0"/>
    <numFmt numFmtId="179" formatCode="#0&quot; Cubic Yds&quot;"/>
    <numFmt numFmtId="180" formatCode="#0&quot; Sticks&quot;"/>
    <numFmt numFmtId="181" formatCode="&quot;#&quot;#0"/>
    <numFmt numFmtId="182" formatCode="#0&quot; in o.c.&quot;"/>
    <numFmt numFmtId="183" formatCode="_([$$-409]* #,##0.00_);_([$$-409]* \(#,##0.00\);_([$$-409]* &quot;-&quot;??_);_(@_)"/>
    <numFmt numFmtId="184" formatCode="&quot;ReBar #&quot;#0"/>
    <numFmt numFmtId="185" formatCode="#0&quot; sqft&quot;"/>
    <numFmt numFmtId="186" formatCode="0&quot; in.&quot;"/>
    <numFmt numFmtId="187" formatCode="0&quot;in&quot;"/>
    <numFmt numFmtId="188" formatCode="0.00&quot;ft&quot;"/>
    <numFmt numFmtId="189" formatCode="0.0"/>
    <numFmt numFmtId="190" formatCode="#\ ?/8"/>
    <numFmt numFmtId="191" formatCode="&quot;BL&quot;0&quot;00&quot;"/>
    <numFmt numFmtId="192" formatCode="0\ &quot;Bundles&quot;"/>
    <numFmt numFmtId="193" formatCode="0\ &quot;Blocks&quot;"/>
    <numFmt numFmtId="194" formatCode="0\ &quot;Boxes&quot;"/>
    <numFmt numFmtId="195" formatCode="0\ &quot;Inserts&quot;"/>
    <numFmt numFmtId="196" formatCode="0\ &quot;Bridges&quot;"/>
    <numFmt numFmtId="197" formatCode="#&quot; CY&quot;"/>
    <numFmt numFmtId="198" formatCode="#&quot; 20ft&quot;"/>
    <numFmt numFmtId="199" formatCode="0.00&quot;°&quot;"/>
    <numFmt numFmtId="200" formatCode="0.00;&quot;0&quot;;0.00"/>
    <numFmt numFmtId="201" formatCode="0.000;&quot;0&quot;;0.000"/>
    <numFmt numFmtId="202" formatCode="0.0000;&quot;0&quot;;0.0000"/>
  </numFmts>
  <fonts count="52" x14ac:knownFonts="1">
    <font>
      <sz val="11"/>
      <color theme="1"/>
      <name val="Calibri"/>
      <family val="2"/>
      <scheme val="minor"/>
    </font>
    <font>
      <sz val="8"/>
      <color indexed="81"/>
      <name val="Tahoma"/>
      <family val="2"/>
    </font>
    <font>
      <b/>
      <sz val="8"/>
      <color indexed="81"/>
      <name val="Tahoma"/>
      <family val="2"/>
    </font>
    <font>
      <u/>
      <sz val="11"/>
      <color theme="10"/>
      <name val="Calibri"/>
      <family val="2"/>
    </font>
    <font>
      <sz val="11"/>
      <color theme="0"/>
      <name val="Calibri"/>
      <family val="2"/>
      <scheme val="minor"/>
    </font>
    <font>
      <sz val="11"/>
      <color theme="1"/>
      <name val="Calibri"/>
      <family val="2"/>
    </font>
    <font>
      <sz val="9"/>
      <color theme="1"/>
      <name val="Calibri"/>
      <family val="2"/>
    </font>
    <font>
      <b/>
      <u/>
      <sz val="11"/>
      <color theme="1"/>
      <name val="Calibri"/>
      <family val="2"/>
    </font>
    <font>
      <b/>
      <i/>
      <sz val="11"/>
      <color theme="1"/>
      <name val="Calibri"/>
      <family val="2"/>
    </font>
    <font>
      <sz val="8"/>
      <color theme="1"/>
      <name val="Calibri"/>
      <family val="2"/>
    </font>
    <font>
      <sz val="11"/>
      <color theme="0"/>
      <name val="Calibri"/>
      <family val="2"/>
    </font>
    <font>
      <sz val="11"/>
      <color rgb="FF000000"/>
      <name val="Calibri"/>
      <family val="2"/>
    </font>
    <font>
      <sz val="10"/>
      <color theme="1"/>
      <name val="Calibri"/>
      <family val="2"/>
    </font>
    <font>
      <sz val="12"/>
      <color theme="1"/>
      <name val="Calibri"/>
      <family val="2"/>
    </font>
    <font>
      <sz val="11"/>
      <name val="Calibri"/>
      <family val="2"/>
      <scheme val="minor"/>
    </font>
    <font>
      <sz val="11"/>
      <name val="Calibri"/>
      <family val="2"/>
    </font>
    <font>
      <sz val="10"/>
      <color theme="0"/>
      <name val="Calibri"/>
      <family val="2"/>
    </font>
    <font>
      <sz val="14"/>
      <color theme="1"/>
      <name val="Calibri"/>
      <family val="2"/>
      <scheme val="minor"/>
    </font>
    <font>
      <b/>
      <sz val="11"/>
      <color theme="1"/>
      <name val="Calibri"/>
      <family val="2"/>
      <scheme val="minor"/>
    </font>
    <font>
      <sz val="11"/>
      <color theme="3" tint="0.59999389629810485"/>
      <name val="Calibri"/>
      <family val="2"/>
      <scheme val="minor"/>
    </font>
    <font>
      <sz val="11"/>
      <color theme="6" tint="0.39997558519241921"/>
      <name val="Calibri"/>
      <family val="2"/>
      <scheme val="minor"/>
    </font>
    <font>
      <sz val="11"/>
      <color rgb="FFFF0000"/>
      <name val="Calibri"/>
      <family val="2"/>
    </font>
    <font>
      <sz val="11"/>
      <color theme="1" tint="0.499984740745262"/>
      <name val="Calibri"/>
      <family val="2"/>
      <scheme val="minor"/>
    </font>
    <font>
      <sz val="11"/>
      <color theme="1" tint="0.499984740745262"/>
      <name val="Calibri"/>
      <family val="2"/>
    </font>
    <font>
      <sz val="14"/>
      <color theme="1"/>
      <name val="Calibri"/>
      <family val="2"/>
    </font>
    <font>
      <b/>
      <sz val="9"/>
      <color indexed="81"/>
      <name val="Tahoma"/>
      <family val="2"/>
    </font>
    <font>
      <i/>
      <sz val="11"/>
      <color theme="1"/>
      <name val="Calibri"/>
      <family val="2"/>
    </font>
    <font>
      <i/>
      <sz val="11"/>
      <color theme="1"/>
      <name val="Calibri"/>
      <family val="2"/>
      <scheme val="minor"/>
    </font>
    <font>
      <sz val="11"/>
      <color rgb="FFFF0000"/>
      <name val="Calibri"/>
      <family val="2"/>
      <scheme val="minor"/>
    </font>
    <font>
      <sz val="10"/>
      <color theme="1"/>
      <name val="Calibri"/>
      <family val="2"/>
      <scheme val="minor"/>
    </font>
    <font>
      <sz val="10"/>
      <name val="Calibri"/>
      <family val="2"/>
    </font>
    <font>
      <sz val="10"/>
      <color theme="0"/>
      <name val="Calibri"/>
      <family val="2"/>
      <scheme val="minor"/>
    </font>
    <font>
      <sz val="11"/>
      <color theme="1"/>
      <name val="Futura Std Medium"/>
      <family val="2"/>
    </font>
    <font>
      <sz val="11"/>
      <name val="Futura Std Medium"/>
      <family val="2"/>
    </font>
    <font>
      <sz val="12"/>
      <color theme="1"/>
      <name val="Calibri"/>
      <family val="2"/>
      <scheme val="minor"/>
    </font>
    <font>
      <sz val="12"/>
      <name val="Calibri"/>
      <family val="2"/>
      <scheme val="minor"/>
    </font>
    <font>
      <b/>
      <sz val="12"/>
      <color indexed="63"/>
      <name val="Calibri"/>
      <family val="2"/>
      <scheme val="minor"/>
    </font>
    <font>
      <sz val="12"/>
      <color indexed="63"/>
      <name val="Calibri"/>
      <family val="2"/>
      <scheme val="minor"/>
    </font>
    <font>
      <sz val="10"/>
      <name val="Calibri"/>
      <family val="2"/>
      <scheme val="minor"/>
    </font>
    <font>
      <sz val="11"/>
      <color theme="3" tint="0.79998168889431442"/>
      <name val="Calibri"/>
      <family val="2"/>
      <scheme val="minor"/>
    </font>
    <font>
      <sz val="8"/>
      <name val="Calibri"/>
      <family val="2"/>
    </font>
    <font>
      <sz val="8"/>
      <color theme="0"/>
      <name val="Calibri"/>
      <family val="2"/>
    </font>
    <font>
      <sz val="8"/>
      <color rgb="FF000000"/>
      <name val="Tahoma"/>
      <family val="2"/>
    </font>
    <font>
      <b/>
      <u/>
      <sz val="10"/>
      <name val="Calibri"/>
      <family val="2"/>
    </font>
    <font>
      <b/>
      <i/>
      <sz val="10"/>
      <name val="Calibri"/>
      <family val="2"/>
    </font>
    <font>
      <b/>
      <sz val="10"/>
      <name val="Calibri"/>
      <family val="2"/>
      <scheme val="minor"/>
    </font>
    <font>
      <b/>
      <sz val="10"/>
      <name val="Calibri"/>
      <family val="2"/>
    </font>
    <font>
      <sz val="7"/>
      <name val="Calibri"/>
      <family val="2"/>
    </font>
    <font>
      <sz val="6"/>
      <name val="Calibri"/>
      <family val="2"/>
    </font>
    <font>
      <sz val="6"/>
      <name val="Calibri"/>
      <family val="2"/>
      <scheme val="minor"/>
    </font>
    <font>
      <u/>
      <sz val="10"/>
      <color theme="10"/>
      <name val="Calibri"/>
      <family val="2"/>
    </font>
    <font>
      <sz val="9"/>
      <name val="Calibri"/>
      <family val="2"/>
    </font>
  </fonts>
  <fills count="1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rgb="FFFEFE7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36">
    <xf numFmtId="0" fontId="0" fillId="0" borderId="0" xfId="0"/>
    <xf numFmtId="14" fontId="5" fillId="4" borderId="42" xfId="0" applyNumberFormat="1" applyFont="1" applyFill="1" applyBorder="1" applyProtection="1"/>
    <xf numFmtId="0" fontId="5" fillId="5" borderId="38" xfId="0" applyFont="1" applyFill="1" applyBorder="1" applyProtection="1">
      <protection locked="0"/>
    </xf>
    <xf numFmtId="0" fontId="5" fillId="5" borderId="2" xfId="0" applyFont="1" applyFill="1" applyBorder="1" applyProtection="1">
      <protection locked="0"/>
    </xf>
    <xf numFmtId="0" fontId="5" fillId="5" borderId="27" xfId="0" applyNumberFormat="1" applyFont="1" applyFill="1" applyBorder="1" applyProtection="1">
      <protection locked="0"/>
    </xf>
    <xf numFmtId="0" fontId="5" fillId="5" borderId="7" xfId="0" applyFont="1" applyFill="1" applyBorder="1" applyAlignment="1" applyProtection="1">
      <alignment horizontal="left"/>
      <protection locked="0"/>
    </xf>
    <xf numFmtId="171" fontId="5" fillId="5" borderId="1" xfId="0" applyNumberFormat="1" applyFont="1" applyFill="1" applyBorder="1" applyAlignment="1" applyProtection="1">
      <alignment horizontal="left"/>
      <protection locked="0"/>
    </xf>
    <xf numFmtId="172" fontId="5" fillId="5" borderId="7" xfId="0" applyNumberFormat="1" applyFont="1" applyFill="1" applyBorder="1" applyAlignment="1" applyProtection="1">
      <alignment horizontal="left"/>
      <protection locked="0"/>
    </xf>
    <xf numFmtId="171" fontId="5" fillId="5" borderId="3" xfId="0" applyNumberFormat="1" applyFont="1" applyFill="1" applyBorder="1" applyAlignment="1" applyProtection="1">
      <alignment horizontal="left"/>
      <protection locked="0"/>
    </xf>
    <xf numFmtId="0" fontId="5" fillId="5" borderId="2"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5" borderId="3" xfId="0" applyFont="1" applyFill="1" applyBorder="1" applyAlignment="1" applyProtection="1">
      <alignment horizontal="left"/>
      <protection locked="0"/>
    </xf>
    <xf numFmtId="171" fontId="5" fillId="5" borderId="2" xfId="0" applyNumberFormat="1" applyFont="1" applyFill="1" applyBorder="1" applyProtection="1">
      <protection locked="0"/>
    </xf>
    <xf numFmtId="0" fontId="5" fillId="3" borderId="7" xfId="0" applyFont="1" applyFill="1" applyBorder="1" applyProtection="1">
      <protection locked="0"/>
    </xf>
    <xf numFmtId="0" fontId="5" fillId="5" borderId="1" xfId="0" applyNumberFormat="1" applyFont="1" applyFill="1" applyBorder="1" applyProtection="1">
      <protection locked="0"/>
    </xf>
    <xf numFmtId="171" fontId="5" fillId="5" borderId="1" xfId="0" applyNumberFormat="1" applyFont="1" applyFill="1" applyBorder="1" applyProtection="1">
      <protection locked="0"/>
    </xf>
    <xf numFmtId="0" fontId="5" fillId="3" borderId="46" xfId="0" applyFont="1" applyFill="1" applyBorder="1" applyProtection="1">
      <protection locked="0"/>
    </xf>
    <xf numFmtId="0" fontId="12" fillId="5" borderId="27" xfId="0" applyFont="1" applyFill="1" applyBorder="1" applyProtection="1">
      <protection locked="0"/>
    </xf>
    <xf numFmtId="0" fontId="12" fillId="5" borderId="25" xfId="0" applyFont="1" applyFill="1" applyBorder="1" applyProtection="1">
      <protection locked="0"/>
    </xf>
    <xf numFmtId="0" fontId="12" fillId="5" borderId="34" xfId="0" applyFont="1" applyFill="1" applyBorder="1" applyProtection="1">
      <protection locked="0"/>
    </xf>
    <xf numFmtId="0" fontId="12" fillId="5" borderId="8" xfId="0" applyFont="1" applyFill="1" applyBorder="1" applyProtection="1">
      <protection locked="0"/>
    </xf>
    <xf numFmtId="0" fontId="0" fillId="0" borderId="0" xfId="0" applyFont="1" applyProtection="1"/>
    <xf numFmtId="0" fontId="4" fillId="3" borderId="10" xfId="0" applyFont="1" applyFill="1" applyBorder="1" applyAlignment="1" applyProtection="1">
      <alignment horizontal="right"/>
    </xf>
    <xf numFmtId="0" fontId="4" fillId="3" borderId="10" xfId="0" applyFont="1" applyFill="1" applyBorder="1" applyAlignment="1" applyProtection="1"/>
    <xf numFmtId="0" fontId="4" fillId="3" borderId="11" xfId="0" applyFont="1" applyFill="1" applyBorder="1" applyProtection="1"/>
    <xf numFmtId="0" fontId="4" fillId="3" borderId="0" xfId="0" applyFont="1" applyFill="1" applyBorder="1" applyProtection="1"/>
    <xf numFmtId="0" fontId="14" fillId="3" borderId="15"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13" xfId="0" applyFont="1" applyFill="1" applyBorder="1" applyAlignment="1" applyProtection="1">
      <alignment horizontal="right"/>
    </xf>
    <xf numFmtId="0" fontId="4" fillId="3" borderId="13" xfId="0" applyFont="1" applyFill="1" applyBorder="1" applyProtection="1"/>
    <xf numFmtId="0" fontId="14" fillId="4" borderId="27" xfId="0" applyFont="1" applyFill="1" applyBorder="1" applyAlignment="1" applyProtection="1">
      <alignment horizontal="center"/>
    </xf>
    <xf numFmtId="0" fontId="14" fillId="4" borderId="25" xfId="0" applyFont="1" applyFill="1" applyBorder="1" applyAlignment="1" applyProtection="1">
      <alignment horizontal="center"/>
    </xf>
    <xf numFmtId="0" fontId="14" fillId="4" borderId="25" xfId="0" applyFont="1" applyFill="1" applyBorder="1" applyAlignment="1" applyProtection="1">
      <alignment horizontal="right"/>
    </xf>
    <xf numFmtId="0" fontId="0" fillId="4" borderId="1" xfId="0" applyFill="1" applyBorder="1" applyProtection="1"/>
    <xf numFmtId="177" fontId="14" fillId="8" borderId="1" xfId="0" applyNumberFormat="1" applyFont="1" applyFill="1" applyBorder="1" applyAlignment="1" applyProtection="1">
      <alignment horizontal="right"/>
      <protection locked="0"/>
    </xf>
    <xf numFmtId="177" fontId="14" fillId="9" borderId="1" xfId="0" applyNumberFormat="1" applyFont="1" applyFill="1" applyBorder="1" applyAlignment="1" applyProtection="1">
      <alignment horizontal="right"/>
    </xf>
    <xf numFmtId="2" fontId="14" fillId="5" borderId="17" xfId="0" applyNumberFormat="1" applyFont="1" applyFill="1" applyBorder="1" applyAlignment="1" applyProtection="1">
      <alignment horizontal="right"/>
      <protection locked="0"/>
    </xf>
    <xf numFmtId="2" fontId="14" fillId="5" borderId="29" xfId="0" applyNumberFormat="1" applyFont="1" applyFill="1" applyBorder="1" applyAlignment="1" applyProtection="1">
      <alignment horizontal="right"/>
      <protection locked="0"/>
    </xf>
    <xf numFmtId="0" fontId="17" fillId="0" borderId="0" xfId="0" applyFont="1" applyProtection="1"/>
    <xf numFmtId="0" fontId="0" fillId="4" borderId="2" xfId="0" applyFill="1" applyBorder="1" applyAlignment="1" applyProtection="1">
      <alignment horizontal="center"/>
    </xf>
    <xf numFmtId="179" fontId="0" fillId="9" borderId="1" xfId="0" applyNumberFormat="1" applyFont="1" applyFill="1" applyBorder="1" applyProtection="1"/>
    <xf numFmtId="171" fontId="0" fillId="9" borderId="1" xfId="0" applyNumberFormat="1" applyFont="1" applyFill="1" applyBorder="1" applyProtection="1"/>
    <xf numFmtId="172" fontId="0" fillId="5" borderId="1" xfId="0" applyNumberFormat="1" applyFont="1" applyFill="1" applyBorder="1" applyProtection="1"/>
    <xf numFmtId="171" fontId="0" fillId="5" borderId="1" xfId="0" applyNumberFormat="1" applyFont="1" applyFill="1" applyBorder="1" applyProtection="1"/>
    <xf numFmtId="178" fontId="0" fillId="5" borderId="1" xfId="0" applyNumberFormat="1" applyFont="1" applyFill="1" applyBorder="1" applyAlignment="1" applyProtection="1">
      <alignment horizontal="center"/>
    </xf>
    <xf numFmtId="0" fontId="0" fillId="5" borderId="1" xfId="0" applyFont="1" applyFill="1" applyBorder="1" applyAlignment="1" applyProtection="1">
      <alignment horizontal="center"/>
    </xf>
    <xf numFmtId="171" fontId="0" fillId="5" borderId="1" xfId="0" applyNumberFormat="1" applyFont="1" applyFill="1" applyBorder="1" applyAlignment="1" applyProtection="1">
      <alignment horizontal="center"/>
    </xf>
    <xf numFmtId="0" fontId="0" fillId="0" borderId="0" xfId="0" applyFont="1" applyFill="1" applyBorder="1" applyProtection="1"/>
    <xf numFmtId="0" fontId="4" fillId="10" borderId="0" xfId="0" applyFont="1" applyFill="1" applyProtection="1"/>
    <xf numFmtId="0" fontId="0" fillId="4" borderId="0" xfId="0" applyFont="1" applyFill="1" applyProtection="1"/>
    <xf numFmtId="180" fontId="0" fillId="9" borderId="1" xfId="0" applyNumberFormat="1" applyFont="1" applyFill="1" applyBorder="1" applyProtection="1"/>
    <xf numFmtId="0" fontId="19" fillId="4" borderId="7" xfId="0" applyFont="1" applyFill="1" applyBorder="1" applyProtection="1"/>
    <xf numFmtId="0" fontId="19" fillId="4" borderId="6" xfId="0" applyFont="1" applyFill="1" applyBorder="1" applyAlignment="1" applyProtection="1"/>
    <xf numFmtId="0" fontId="20" fillId="9" borderId="7" xfId="0" applyFont="1" applyFill="1" applyBorder="1" applyAlignment="1" applyProtection="1">
      <alignment horizontal="center"/>
    </xf>
    <xf numFmtId="172" fontId="4" fillId="0" borderId="0" xfId="0" applyNumberFormat="1" applyFont="1"/>
    <xf numFmtId="0" fontId="4" fillId="0" borderId="0" xfId="0" applyFont="1" applyAlignment="1">
      <alignment horizontal="right"/>
    </xf>
    <xf numFmtId="175" fontId="14" fillId="8" borderId="33" xfId="0" applyNumberFormat="1" applyFont="1" applyFill="1" applyBorder="1" applyAlignment="1" applyProtection="1">
      <alignment horizontal="right"/>
      <protection locked="0"/>
    </xf>
    <xf numFmtId="0" fontId="14" fillId="9" borderId="3" xfId="0" applyFont="1" applyFill="1" applyBorder="1" applyAlignment="1" applyProtection="1">
      <alignment horizontal="right"/>
    </xf>
    <xf numFmtId="0" fontId="14" fillId="3" borderId="16" xfId="0" applyFont="1" applyFill="1" applyBorder="1" applyAlignment="1" applyProtection="1">
      <alignment horizontal="right"/>
    </xf>
    <xf numFmtId="2" fontId="14" fillId="9" borderId="18" xfId="0" applyNumberFormat="1" applyFont="1" applyFill="1" applyBorder="1" applyAlignment="1" applyProtection="1">
      <alignment horizontal="right"/>
    </xf>
    <xf numFmtId="0" fontId="14" fillId="3" borderId="14" xfId="0" applyFont="1" applyFill="1" applyBorder="1" applyAlignment="1" applyProtection="1">
      <alignment horizontal="right"/>
    </xf>
    <xf numFmtId="0" fontId="14" fillId="5" borderId="17" xfId="0" applyFont="1" applyFill="1" applyBorder="1" applyAlignment="1" applyProtection="1">
      <alignment horizontal="right"/>
    </xf>
    <xf numFmtId="0" fontId="14" fillId="9" borderId="18" xfId="0" applyFont="1" applyFill="1" applyBorder="1" applyAlignment="1" applyProtection="1">
      <alignment horizontal="right"/>
    </xf>
    <xf numFmtId="0" fontId="0" fillId="6" borderId="9" xfId="0" applyFill="1" applyBorder="1" applyAlignment="1" applyProtection="1">
      <alignment horizontal="center"/>
    </xf>
    <xf numFmtId="0" fontId="0" fillId="6" borderId="26" xfId="0" applyFill="1" applyBorder="1" applyAlignment="1" applyProtection="1">
      <alignment horizontal="center"/>
    </xf>
    <xf numFmtId="0" fontId="14" fillId="6" borderId="17" xfId="0" applyFont="1" applyFill="1" applyBorder="1" applyAlignment="1" applyProtection="1">
      <alignment horizontal="center"/>
    </xf>
    <xf numFmtId="0" fontId="14" fillId="6" borderId="18" xfId="0" applyFont="1" applyFill="1" applyBorder="1" applyAlignment="1" applyProtection="1">
      <alignment horizontal="center"/>
    </xf>
    <xf numFmtId="0" fontId="5" fillId="5" borderId="4" xfId="0" applyFont="1" applyFill="1" applyBorder="1" applyProtection="1">
      <protection locked="0"/>
    </xf>
    <xf numFmtId="0" fontId="4" fillId="0" borderId="0" xfId="0" applyFont="1" applyBorder="1"/>
    <xf numFmtId="0" fontId="16" fillId="0" borderId="0" xfId="0" applyNumberFormat="1" applyFont="1" applyProtection="1"/>
    <xf numFmtId="9" fontId="0" fillId="9" borderId="20" xfId="0" applyNumberFormat="1" applyFont="1" applyFill="1" applyBorder="1" applyProtection="1"/>
    <xf numFmtId="0" fontId="0" fillId="9" borderId="4" xfId="0" applyFont="1" applyFill="1" applyBorder="1" applyProtection="1"/>
    <xf numFmtId="9" fontId="0" fillId="0" borderId="23" xfId="0" applyNumberFormat="1" applyFont="1" applyBorder="1" applyProtection="1"/>
    <xf numFmtId="175" fontId="14" fillId="0" borderId="4" xfId="0" applyNumberFormat="1" applyFont="1" applyFill="1" applyBorder="1" applyAlignment="1" applyProtection="1">
      <alignment horizontal="right"/>
      <protection locked="0"/>
    </xf>
    <xf numFmtId="0" fontId="0" fillId="0" borderId="4" xfId="0" applyFont="1" applyBorder="1" applyProtection="1"/>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14" borderId="4" xfId="0" applyFont="1" applyFill="1" applyBorder="1" applyAlignment="1" applyProtection="1">
      <alignment horizontal="center" vertical="center"/>
    </xf>
    <xf numFmtId="0" fontId="14" fillId="4" borderId="27" xfId="0" applyFont="1" applyFill="1" applyBorder="1" applyProtection="1"/>
    <xf numFmtId="0" fontId="14" fillId="4" borderId="25" xfId="0" applyFont="1" applyFill="1" applyBorder="1" applyProtection="1"/>
    <xf numFmtId="0" fontId="14" fillId="4" borderId="28" xfId="0" applyFont="1" applyFill="1" applyBorder="1" applyProtection="1"/>
    <xf numFmtId="0" fontId="14" fillId="4" borderId="0" xfId="0" applyFont="1" applyFill="1" applyBorder="1"/>
    <xf numFmtId="0" fontId="14" fillId="0" borderId="33" xfId="0" applyFont="1" applyBorder="1" applyProtection="1"/>
    <xf numFmtId="0" fontId="14" fillId="0" borderId="3" xfId="0" applyFont="1" applyBorder="1" applyProtection="1"/>
    <xf numFmtId="0" fontId="14" fillId="0" borderId="52" xfId="0" applyFont="1" applyBorder="1" applyProtection="1"/>
    <xf numFmtId="0" fontId="14" fillId="4" borderId="9" xfId="0" applyFont="1" applyFill="1" applyBorder="1" applyProtection="1"/>
    <xf numFmtId="0" fontId="14" fillId="4" borderId="10" xfId="0" applyFont="1" applyFill="1" applyBorder="1" applyProtection="1"/>
    <xf numFmtId="0" fontId="14" fillId="4" borderId="12" xfId="0" applyFont="1" applyFill="1" applyBorder="1"/>
    <xf numFmtId="0" fontId="14" fillId="4" borderId="13" xfId="0" applyFont="1" applyFill="1" applyBorder="1"/>
    <xf numFmtId="0" fontId="14" fillId="0" borderId="15" xfId="0" applyFont="1" applyBorder="1"/>
    <xf numFmtId="0" fontId="14" fillId="0" borderId="0" xfId="0" applyFont="1" applyBorder="1"/>
    <xf numFmtId="0" fontId="14" fillId="0" borderId="0" xfId="0" applyFont="1" applyBorder="1" applyProtection="1"/>
    <xf numFmtId="0" fontId="14" fillId="0" borderId="15" xfId="0" applyFont="1" applyBorder="1" applyProtection="1"/>
    <xf numFmtId="0" fontId="14" fillId="0" borderId="12" xfId="0" applyFont="1" applyBorder="1" applyProtection="1"/>
    <xf numFmtId="0" fontId="14" fillId="0" borderId="13" xfId="0" applyFont="1" applyBorder="1" applyProtection="1"/>
    <xf numFmtId="0" fontId="14" fillId="4" borderId="0" xfId="0" applyNumberFormat="1" applyFont="1" applyFill="1" applyBorder="1"/>
    <xf numFmtId="0" fontId="0" fillId="0" borderId="1" xfId="0" applyBorder="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172" fontId="0" fillId="14" borderId="1" xfId="0" applyNumberFormat="1" applyFill="1" applyBorder="1" applyAlignment="1">
      <alignment horizontal="center" vertical="center"/>
    </xf>
    <xf numFmtId="185" fontId="0" fillId="14" borderId="1" xfId="0" applyNumberFormat="1" applyFill="1" applyBorder="1" applyAlignment="1">
      <alignment horizontal="center" vertical="center"/>
    </xf>
    <xf numFmtId="0" fontId="0" fillId="14" borderId="1" xfId="0" applyNumberFormat="1" applyFill="1" applyBorder="1" applyAlignment="1">
      <alignment horizontal="center" vertical="center"/>
    </xf>
    <xf numFmtId="2" fontId="14" fillId="0" borderId="1" xfId="0" applyNumberFormat="1" applyFont="1" applyFill="1" applyBorder="1" applyAlignment="1">
      <alignment horizontal="center" vertical="center"/>
    </xf>
    <xf numFmtId="0" fontId="0" fillId="0" borderId="1" xfId="0" applyBorder="1" applyAlignment="1">
      <alignment horizontal="center"/>
    </xf>
    <xf numFmtId="0" fontId="0" fillId="14" borderId="1" xfId="0" applyFill="1" applyBorder="1" applyAlignment="1">
      <alignment horizontal="center"/>
    </xf>
    <xf numFmtId="2" fontId="0" fillId="0" borderId="1" xfId="0" applyNumberFormat="1" applyBorder="1" applyAlignment="1">
      <alignment horizontal="center"/>
    </xf>
    <xf numFmtId="0" fontId="0" fillId="15" borderId="1" xfId="0" applyFill="1" applyBorder="1" applyAlignment="1">
      <alignment horizontal="center"/>
    </xf>
    <xf numFmtId="0" fontId="0" fillId="0" borderId="1" xfId="0" applyBorder="1"/>
    <xf numFmtId="0" fontId="0" fillId="0" borderId="1" xfId="0" applyFont="1" applyBorder="1" applyProtection="1"/>
    <xf numFmtId="0" fontId="16" fillId="0" borderId="0" xfId="0" applyNumberFormat="1" applyFont="1" applyProtection="1">
      <protection hidden="1"/>
    </xf>
    <xf numFmtId="0" fontId="30" fillId="0" borderId="0" xfId="0" applyNumberFormat="1" applyFont="1" applyProtection="1"/>
    <xf numFmtId="0" fontId="12" fillId="0" borderId="0" xfId="0" applyFont="1" applyProtection="1"/>
    <xf numFmtId="0" fontId="30" fillId="0" borderId="0" xfId="0" applyFont="1" applyProtection="1"/>
    <xf numFmtId="0" fontId="16" fillId="0" borderId="0" xfId="0" applyFont="1" applyProtection="1"/>
    <xf numFmtId="0" fontId="31" fillId="0" borderId="0" xfId="0" applyFont="1" applyProtection="1"/>
    <xf numFmtId="0" fontId="12" fillId="4" borderId="13" xfId="0" applyFont="1" applyFill="1" applyBorder="1" applyProtection="1"/>
    <xf numFmtId="0" fontId="12" fillId="4" borderId="22" xfId="0" applyFont="1" applyFill="1" applyBorder="1" applyProtection="1"/>
    <xf numFmtId="0" fontId="12" fillId="4" borderId="23" xfId="0" applyFont="1" applyFill="1" applyBorder="1" applyProtection="1"/>
    <xf numFmtId="164" fontId="16" fillId="0" borderId="0" xfId="0" applyNumberFormat="1" applyFont="1" applyProtection="1"/>
    <xf numFmtId="0" fontId="32" fillId="0" borderId="0" xfId="0" applyFont="1" applyAlignment="1">
      <alignment horizontal="center" vertical="center"/>
    </xf>
    <xf numFmtId="0" fontId="32" fillId="0" borderId="0" xfId="0" applyFont="1" applyAlignment="1"/>
    <xf numFmtId="0" fontId="33" fillId="0" borderId="0" xfId="0" applyFont="1" applyBorder="1" applyAlignment="1"/>
    <xf numFmtId="0" fontId="0" fillId="0" borderId="0" xfId="0" applyFont="1" applyAlignment="1"/>
    <xf numFmtId="0" fontId="32" fillId="0" borderId="1" xfId="0" applyFont="1" applyBorder="1" applyAlignment="1"/>
    <xf numFmtId="0" fontId="0" fillId="0" borderId="1" xfId="0" applyFont="1" applyBorder="1" applyAlignment="1"/>
    <xf numFmtId="0" fontId="3" fillId="0" borderId="1" xfId="1" applyFont="1" applyBorder="1" applyAlignment="1" applyProtection="1">
      <alignment vertical="center"/>
    </xf>
    <xf numFmtId="0" fontId="3" fillId="0" borderId="1" xfId="1" applyBorder="1" applyAlignment="1" applyProtection="1">
      <alignment vertical="center" wrapText="1"/>
    </xf>
    <xf numFmtId="0" fontId="3" fillId="0" borderId="1" xfId="1" applyBorder="1" applyAlignment="1" applyProtection="1">
      <alignment vertical="center"/>
    </xf>
    <xf numFmtId="0" fontId="32" fillId="0" borderId="1" xfId="0" applyFont="1" applyBorder="1" applyAlignment="1">
      <alignment horizontal="center" vertical="center"/>
    </xf>
    <xf numFmtId="0" fontId="0" fillId="15" borderId="1" xfId="0" applyFont="1" applyFill="1" applyBorder="1" applyAlignment="1"/>
    <xf numFmtId="0" fontId="3" fillId="15" borderId="1" xfId="1" applyFont="1" applyFill="1" applyBorder="1" applyAlignment="1" applyProtection="1">
      <alignment vertical="center"/>
    </xf>
    <xf numFmtId="0" fontId="32" fillId="15" borderId="1" xfId="0" applyFont="1" applyFill="1" applyBorder="1" applyAlignment="1"/>
    <xf numFmtId="0" fontId="32" fillId="15" borderId="1" xfId="0" applyFont="1" applyFill="1" applyBorder="1" applyAlignment="1">
      <alignment horizontal="center" vertical="center"/>
    </xf>
    <xf numFmtId="0" fontId="32" fillId="16" borderId="1" xfId="0" applyFont="1" applyFill="1" applyBorder="1" applyAlignment="1"/>
    <xf numFmtId="0" fontId="0" fillId="16" borderId="1" xfId="0" applyFont="1" applyFill="1" applyBorder="1" applyAlignment="1"/>
    <xf numFmtId="0" fontId="34" fillId="0" borderId="0" xfId="0" applyFont="1"/>
    <xf numFmtId="0" fontId="35" fillId="15" borderId="1" xfId="0" applyNumberFormat="1" applyFont="1" applyFill="1" applyBorder="1" applyAlignment="1" applyProtection="1"/>
    <xf numFmtId="0" fontId="35" fillId="0" borderId="1" xfId="0" applyNumberFormat="1" applyFont="1" applyFill="1" applyBorder="1" applyAlignment="1" applyProtection="1"/>
    <xf numFmtId="0" fontId="35" fillId="15" borderId="27" xfId="0" applyNumberFormat="1" applyFont="1" applyFill="1" applyBorder="1" applyAlignment="1" applyProtection="1"/>
    <xf numFmtId="0" fontId="35" fillId="15" borderId="25" xfId="0" applyNumberFormat="1" applyFont="1" applyFill="1" applyBorder="1" applyAlignment="1" applyProtection="1"/>
    <xf numFmtId="0" fontId="35" fillId="15" borderId="26" xfId="0" applyNumberFormat="1" applyFont="1" applyFill="1" applyBorder="1" applyAlignment="1" applyProtection="1"/>
    <xf numFmtId="0" fontId="35" fillId="0" borderId="17" xfId="0" applyNumberFormat="1" applyFont="1" applyFill="1" applyBorder="1" applyAlignment="1" applyProtection="1"/>
    <xf numFmtId="0" fontId="34" fillId="0" borderId="18" xfId="0" applyFont="1" applyFill="1" applyBorder="1"/>
    <xf numFmtId="0" fontId="35" fillId="15" borderId="17" xfId="0" applyNumberFormat="1" applyFont="1" applyFill="1" applyBorder="1" applyAlignment="1" applyProtection="1"/>
    <xf numFmtId="0" fontId="35" fillId="15" borderId="18" xfId="0" applyNumberFormat="1" applyFont="1" applyFill="1" applyBorder="1" applyAlignment="1" applyProtection="1"/>
    <xf numFmtId="0" fontId="34" fillId="0" borderId="29" xfId="0" applyFont="1" applyFill="1" applyBorder="1"/>
    <xf numFmtId="0" fontId="34" fillId="0" borderId="19" xfId="0" applyFont="1" applyFill="1" applyBorder="1"/>
    <xf numFmtId="0" fontId="34" fillId="0" borderId="44" xfId="0" applyFont="1" applyFill="1" applyBorder="1"/>
    <xf numFmtId="0" fontId="0" fillId="9" borderId="27" xfId="0" applyFill="1" applyBorder="1"/>
    <xf numFmtId="0" fontId="0" fillId="9" borderId="25" xfId="0" applyFill="1" applyBorder="1"/>
    <xf numFmtId="0" fontId="0" fillId="16" borderId="26" xfId="0" applyFill="1" applyBorder="1"/>
    <xf numFmtId="171" fontId="0" fillId="14" borderId="17" xfId="0" applyNumberFormat="1" applyFill="1" applyBorder="1"/>
    <xf numFmtId="172" fontId="0" fillId="14" borderId="1" xfId="0" applyNumberFormat="1" applyFill="1" applyBorder="1"/>
    <xf numFmtId="0" fontId="0" fillId="9" borderId="18" xfId="0" applyFill="1" applyBorder="1"/>
    <xf numFmtId="0" fontId="38" fillId="15" borderId="19" xfId="0" applyFont="1" applyFill="1" applyBorder="1" applyProtection="1"/>
    <xf numFmtId="0" fontId="38" fillId="15" borderId="44" xfId="0" applyFont="1" applyFill="1" applyBorder="1" applyProtection="1"/>
    <xf numFmtId="0" fontId="0" fillId="9" borderId="17" xfId="0" applyFont="1" applyFill="1" applyBorder="1" applyProtection="1"/>
    <xf numFmtId="0" fontId="39" fillId="16" borderId="1" xfId="0" applyFont="1" applyFill="1" applyBorder="1"/>
    <xf numFmtId="0" fontId="0" fillId="16" borderId="18" xfId="0" applyFill="1" applyBorder="1"/>
    <xf numFmtId="0" fontId="38" fillId="0" borderId="27" xfId="0" applyFont="1" applyBorder="1" applyProtection="1"/>
    <xf numFmtId="0" fontId="38" fillId="0" borderId="25" xfId="0" applyFont="1" applyBorder="1" applyProtection="1"/>
    <xf numFmtId="0" fontId="29" fillId="0" borderId="25" xfId="0" applyFont="1" applyBorder="1" applyProtection="1"/>
    <xf numFmtId="0" fontId="29" fillId="0" borderId="26" xfId="0" applyFont="1" applyBorder="1" applyProtection="1"/>
    <xf numFmtId="172" fontId="39" fillId="16" borderId="1" xfId="0" applyNumberFormat="1" applyFont="1" applyFill="1" applyBorder="1"/>
    <xf numFmtId="0" fontId="38" fillId="16" borderId="17" xfId="0" applyFont="1" applyFill="1" applyBorder="1" applyProtection="1"/>
    <xf numFmtId="0" fontId="38" fillId="16" borderId="1" xfId="0" applyFont="1" applyFill="1" applyBorder="1" applyProtection="1"/>
    <xf numFmtId="0" fontId="29" fillId="16" borderId="1" xfId="0" applyFont="1" applyFill="1" applyBorder="1" applyProtection="1"/>
    <xf numFmtId="0" fontId="29" fillId="16" borderId="18" xfId="0" applyFont="1" applyFill="1" applyBorder="1" applyProtection="1"/>
    <xf numFmtId="0" fontId="0" fillId="14" borderId="1" xfId="0" applyFont="1" applyFill="1" applyBorder="1" applyProtection="1"/>
    <xf numFmtId="0" fontId="0" fillId="9" borderId="18" xfId="0" applyFont="1" applyFill="1" applyBorder="1" applyProtection="1"/>
    <xf numFmtId="0" fontId="38" fillId="0" borderId="29" xfId="0" applyFont="1" applyBorder="1" applyProtection="1"/>
    <xf numFmtId="0" fontId="38" fillId="0" borderId="19" xfId="0" applyFont="1" applyBorder="1" applyProtection="1"/>
    <xf numFmtId="0" fontId="29" fillId="0" borderId="19" xfId="0" applyFont="1" applyBorder="1" applyProtection="1"/>
    <xf numFmtId="0" fontId="29" fillId="0" borderId="44" xfId="0" applyFont="1" applyBorder="1" applyProtection="1"/>
    <xf numFmtId="0" fontId="0" fillId="16" borderId="29" xfId="0" applyFont="1" applyFill="1" applyBorder="1" applyProtection="1"/>
    <xf numFmtId="0" fontId="0" fillId="9" borderId="19" xfId="0" applyFont="1" applyFill="1" applyBorder="1" applyProtection="1"/>
    <xf numFmtId="0" fontId="0" fillId="9" borderId="44" xfId="0" applyFont="1" applyFill="1" applyBorder="1" applyProtection="1"/>
    <xf numFmtId="0" fontId="38" fillId="16" borderId="27" xfId="0" applyFont="1" applyFill="1" applyBorder="1"/>
    <xf numFmtId="0" fontId="38" fillId="16" borderId="25" xfId="0" applyFont="1" applyFill="1" applyBorder="1"/>
    <xf numFmtId="0" fontId="38" fillId="16" borderId="25" xfId="0" applyFont="1" applyFill="1" applyBorder="1" applyProtection="1"/>
    <xf numFmtId="0" fontId="29" fillId="16" borderId="25" xfId="0" applyFont="1" applyFill="1" applyBorder="1" applyProtection="1"/>
    <xf numFmtId="0" fontId="29" fillId="16" borderId="26" xfId="0" applyFont="1" applyFill="1" applyBorder="1" applyProtection="1"/>
    <xf numFmtId="0" fontId="38" fillId="0" borderId="17" xfId="0" applyFont="1" applyBorder="1" applyProtection="1"/>
    <xf numFmtId="0" fontId="38" fillId="0" borderId="1" xfId="0" applyFont="1" applyBorder="1" applyProtection="1"/>
    <xf numFmtId="0" fontId="29" fillId="0" borderId="1" xfId="0" applyFont="1" applyBorder="1" applyProtection="1"/>
    <xf numFmtId="0" fontId="29" fillId="0" borderId="18" xfId="0" applyFont="1" applyBorder="1" applyProtection="1"/>
    <xf numFmtId="0" fontId="38" fillId="16" borderId="27" xfId="0" applyFont="1" applyFill="1" applyBorder="1" applyProtection="1"/>
    <xf numFmtId="0" fontId="18" fillId="0" borderId="0" xfId="0" applyFont="1" applyBorder="1" applyAlignment="1" applyProtection="1"/>
    <xf numFmtId="0" fontId="14" fillId="0" borderId="0" xfId="0" applyFont="1" applyProtection="1"/>
    <xf numFmtId="0" fontId="38" fillId="0" borderId="27" xfId="0" applyFont="1" applyBorder="1" applyAlignment="1" applyProtection="1">
      <alignment horizontal="center"/>
    </xf>
    <xf numFmtId="0" fontId="38" fillId="0" borderId="25" xfId="0" applyFont="1" applyBorder="1" applyAlignment="1" applyProtection="1">
      <alignment horizontal="center"/>
    </xf>
    <xf numFmtId="187" fontId="0" fillId="0" borderId="1" xfId="0" applyNumberFormat="1" applyBorder="1" applyAlignment="1">
      <alignment horizontal="center"/>
    </xf>
    <xf numFmtId="189" fontId="0" fillId="0" borderId="1" xfId="0" applyNumberFormat="1" applyBorder="1" applyAlignment="1">
      <alignment horizontal="center"/>
    </xf>
    <xf numFmtId="190" fontId="0" fillId="0" borderId="1" xfId="0" applyNumberFormat="1" applyBorder="1" applyAlignment="1">
      <alignment horizontal="center"/>
    </xf>
    <xf numFmtId="187" fontId="0" fillId="14" borderId="1" xfId="0" applyNumberFormat="1" applyFill="1" applyBorder="1" applyAlignment="1">
      <alignment horizontal="center"/>
    </xf>
    <xf numFmtId="188" fontId="0" fillId="14" borderId="1" xfId="0" applyNumberFormat="1" applyFill="1" applyBorder="1" applyAlignment="1">
      <alignment horizontal="center"/>
    </xf>
    <xf numFmtId="0" fontId="0" fillId="0" borderId="1" xfId="0" applyFont="1" applyBorder="1" applyAlignment="1" applyProtection="1">
      <alignment horizontal="center"/>
    </xf>
    <xf numFmtId="0" fontId="0" fillId="15" borderId="1" xfId="0" applyFont="1" applyFill="1" applyBorder="1" applyAlignment="1" applyProtection="1">
      <alignment horizontal="center"/>
    </xf>
    <xf numFmtId="2" fontId="0" fillId="0" borderId="1" xfId="0" applyNumberFormat="1" applyFont="1" applyBorder="1" applyAlignment="1" applyProtection="1">
      <alignment horizontal="center"/>
    </xf>
    <xf numFmtId="0" fontId="0" fillId="0" borderId="1" xfId="0" applyFont="1" applyFill="1" applyBorder="1" applyProtection="1"/>
    <xf numFmtId="0" fontId="0" fillId="13" borderId="1" xfId="0" applyFont="1" applyFill="1" applyBorder="1" applyProtection="1"/>
    <xf numFmtId="0" fontId="0" fillId="2" borderId="1" xfId="0" applyFont="1" applyFill="1" applyBorder="1" applyProtection="1"/>
    <xf numFmtId="0" fontId="0" fillId="13" borderId="1" xfId="0" applyFill="1" applyBorder="1"/>
    <xf numFmtId="0" fontId="0" fillId="2" borderId="1" xfId="0" applyFill="1" applyBorder="1"/>
    <xf numFmtId="0" fontId="0" fillId="17" borderId="1" xfId="0" applyFont="1" applyFill="1" applyBorder="1" applyProtection="1"/>
    <xf numFmtId="0" fontId="0" fillId="17" borderId="1" xfId="0" applyFill="1" applyBorder="1"/>
    <xf numFmtId="0" fontId="0" fillId="0" borderId="0" xfId="0" applyFont="1" applyFill="1" applyProtection="1"/>
    <xf numFmtId="0" fontId="5" fillId="0" borderId="0" xfId="0" applyFont="1" applyBorder="1" applyProtection="1">
      <protection locked="0"/>
    </xf>
    <xf numFmtId="0" fontId="5" fillId="4" borderId="2" xfId="0" applyNumberFormat="1" applyFont="1" applyFill="1" applyBorder="1" applyAlignment="1" applyProtection="1">
      <alignment horizontal="left"/>
      <protection locked="0"/>
    </xf>
    <xf numFmtId="0" fontId="5" fillId="5" borderId="50" xfId="0" applyFont="1" applyFill="1" applyBorder="1" applyProtection="1">
      <protection locked="0"/>
    </xf>
    <xf numFmtId="0" fontId="5" fillId="3" borderId="1" xfId="0" applyFont="1" applyFill="1" applyBorder="1" applyProtection="1">
      <protection locked="0"/>
    </xf>
    <xf numFmtId="9" fontId="5" fillId="5" borderId="6" xfId="0" applyNumberFormat="1" applyFont="1" applyFill="1" applyBorder="1" applyProtection="1">
      <protection locked="0"/>
    </xf>
    <xf numFmtId="0" fontId="27" fillId="13" borderId="1" xfId="0" applyFont="1" applyFill="1" applyBorder="1" applyProtection="1">
      <protection locked="0"/>
    </xf>
    <xf numFmtId="0" fontId="27" fillId="13" borderId="18" xfId="0" applyFont="1" applyFill="1" applyBorder="1" applyProtection="1">
      <protection locked="0"/>
    </xf>
    <xf numFmtId="4" fontId="26" fillId="13" borderId="19" xfId="0" applyNumberFormat="1" applyFont="1" applyFill="1" applyBorder="1" applyProtection="1">
      <protection locked="0"/>
    </xf>
    <xf numFmtId="0" fontId="27" fillId="13" borderId="44" xfId="0" applyFont="1" applyFill="1" applyBorder="1" applyProtection="1">
      <protection locked="0"/>
    </xf>
    <xf numFmtId="181" fontId="5" fillId="5" borderId="25" xfId="0" applyNumberFormat="1" applyFont="1" applyFill="1" applyBorder="1" applyAlignment="1" applyProtection="1">
      <alignment horizontal="center"/>
      <protection locked="0"/>
    </xf>
    <xf numFmtId="181" fontId="5" fillId="5" borderId="45" xfId="0" applyNumberFormat="1" applyFont="1" applyFill="1" applyBorder="1" applyProtection="1">
      <protection locked="0"/>
    </xf>
    <xf numFmtId="172" fontId="5" fillId="5" borderId="7" xfId="0" applyNumberFormat="1" applyFont="1" applyFill="1" applyBorder="1" applyAlignment="1" applyProtection="1">
      <alignment horizontal="center"/>
      <protection locked="0"/>
    </xf>
    <xf numFmtId="182" fontId="5" fillId="5" borderId="16" xfId="0" applyNumberFormat="1" applyFont="1" applyFill="1" applyBorder="1" applyProtection="1">
      <protection locked="0"/>
    </xf>
    <xf numFmtId="0" fontId="0" fillId="5" borderId="44" xfId="0" applyFill="1" applyBorder="1" applyProtection="1">
      <protection locked="0"/>
    </xf>
    <xf numFmtId="181" fontId="5" fillId="5" borderId="32" xfId="0" applyNumberFormat="1" applyFont="1" applyFill="1" applyBorder="1" applyProtection="1">
      <protection locked="0"/>
    </xf>
    <xf numFmtId="182" fontId="5" fillId="5" borderId="24" xfId="0" applyNumberFormat="1" applyFont="1" applyFill="1" applyBorder="1" applyProtection="1">
      <protection locked="0"/>
    </xf>
    <xf numFmtId="0" fontId="0" fillId="5" borderId="16" xfId="0" applyFont="1" applyFill="1" applyBorder="1" applyProtection="1">
      <protection locked="0"/>
    </xf>
    <xf numFmtId="0" fontId="5" fillId="3" borderId="9" xfId="0" applyFont="1" applyFill="1" applyBorder="1" applyProtection="1"/>
    <xf numFmtId="0" fontId="5" fillId="3" borderId="10" xfId="0" applyFont="1" applyFill="1" applyBorder="1" applyProtection="1"/>
    <xf numFmtId="0" fontId="5" fillId="3" borderId="11" xfId="0" applyFont="1" applyFill="1" applyBorder="1" applyProtection="1"/>
    <xf numFmtId="0" fontId="10" fillId="0" borderId="0" xfId="0" applyNumberFormat="1" applyFont="1" applyProtection="1"/>
    <xf numFmtId="0" fontId="10" fillId="0" borderId="0" xfId="0" applyFont="1" applyProtection="1"/>
    <xf numFmtId="0" fontId="21" fillId="0" borderId="0" xfId="0" applyFont="1" applyProtection="1"/>
    <xf numFmtId="0" fontId="5" fillId="0" borderId="0" xfId="0" applyFont="1" applyProtection="1"/>
    <xf numFmtId="0" fontId="5" fillId="3" borderId="15" xfId="0" applyFont="1" applyFill="1" applyBorder="1" applyProtection="1"/>
    <xf numFmtId="0" fontId="5" fillId="3" borderId="0" xfId="0" applyFont="1" applyFill="1" applyBorder="1" applyProtection="1"/>
    <xf numFmtId="0" fontId="5" fillId="3" borderId="16" xfId="0" applyFont="1" applyFill="1" applyBorder="1" applyProtection="1"/>
    <xf numFmtId="0" fontId="4" fillId="0" borderId="0" xfId="0" applyFont="1" applyProtection="1"/>
    <xf numFmtId="0" fontId="10" fillId="0" borderId="0" xfId="0" applyNumberFormat="1" applyFont="1" applyFill="1" applyBorder="1" applyProtection="1"/>
    <xf numFmtId="164" fontId="5" fillId="3" borderId="0" xfId="0" applyNumberFormat="1" applyFont="1" applyFill="1" applyBorder="1" applyProtection="1"/>
    <xf numFmtId="164" fontId="5" fillId="3" borderId="16" xfId="0" applyNumberFormat="1" applyFont="1" applyFill="1" applyBorder="1" applyProtection="1"/>
    <xf numFmtId="0" fontId="4" fillId="0" borderId="0" xfId="0" applyNumberFormat="1" applyFont="1" applyProtection="1"/>
    <xf numFmtId="0" fontId="5" fillId="3" borderId="12" xfId="0" applyFont="1" applyFill="1" applyBorder="1" applyProtection="1"/>
    <xf numFmtId="0" fontId="5" fillId="3" borderId="13" xfId="0" applyFont="1" applyFill="1" applyBorder="1" applyProtection="1"/>
    <xf numFmtId="164" fontId="5" fillId="3" borderId="13" xfId="0" applyNumberFormat="1" applyFont="1" applyFill="1" applyBorder="1" applyProtection="1"/>
    <xf numFmtId="164" fontId="5" fillId="3" borderId="14" xfId="0" applyNumberFormat="1" applyFont="1" applyFill="1" applyBorder="1" applyProtection="1"/>
    <xf numFmtId="0" fontId="6" fillId="4" borderId="4" xfId="0" applyFont="1" applyFill="1" applyBorder="1" applyAlignment="1" applyProtection="1">
      <alignment vertical="top"/>
    </xf>
    <xf numFmtId="0" fontId="6" fillId="4" borderId="4" xfId="0" applyFont="1" applyFill="1" applyBorder="1" applyAlignment="1" applyProtection="1">
      <alignment horizontal="center"/>
    </xf>
    <xf numFmtId="0" fontId="6" fillId="4" borderId="4" xfId="0" applyFont="1" applyFill="1" applyBorder="1" applyAlignment="1" applyProtection="1">
      <alignment horizontal="left" vertical="top"/>
    </xf>
    <xf numFmtId="0" fontId="6" fillId="4" borderId="21" xfId="0" applyFont="1" applyFill="1" applyBorder="1" applyAlignment="1" applyProtection="1">
      <alignment horizontal="left" vertical="top"/>
    </xf>
    <xf numFmtId="0" fontId="5" fillId="4" borderId="7" xfId="0" applyFont="1" applyFill="1" applyBorder="1" applyProtection="1"/>
    <xf numFmtId="0" fontId="5" fillId="4" borderId="38" xfId="0" applyFont="1" applyFill="1" applyBorder="1" applyAlignment="1" applyProtection="1">
      <alignment horizontal="center" vertical="center"/>
    </xf>
    <xf numFmtId="0" fontId="5" fillId="4" borderId="43" xfId="0" applyFont="1" applyFill="1" applyBorder="1" applyProtection="1"/>
    <xf numFmtId="0" fontId="5" fillId="4" borderId="22" xfId="0" applyFont="1" applyFill="1" applyBorder="1" applyAlignment="1" applyProtection="1">
      <alignment horizontal="left"/>
    </xf>
    <xf numFmtId="0" fontId="5" fillId="4" borderId="36" xfId="0" applyFont="1" applyFill="1" applyBorder="1" applyProtection="1"/>
    <xf numFmtId="0" fontId="5" fillId="0" borderId="0" xfId="0" applyFont="1" applyBorder="1" applyProtection="1"/>
    <xf numFmtId="22" fontId="5" fillId="3" borderId="0" xfId="0" applyNumberFormat="1" applyFont="1" applyFill="1" applyBorder="1" applyProtection="1"/>
    <xf numFmtId="0" fontId="5" fillId="4" borderId="22" xfId="0" applyNumberFormat="1" applyFont="1" applyFill="1" applyBorder="1" applyAlignment="1" applyProtection="1">
      <alignment horizontal="left"/>
    </xf>
    <xf numFmtId="22" fontId="5" fillId="4" borderId="10" xfId="0" applyNumberFormat="1" applyFont="1" applyFill="1" applyBorder="1" applyProtection="1"/>
    <xf numFmtId="169" fontId="5" fillId="7" borderId="26" xfId="0" applyNumberFormat="1" applyFont="1" applyFill="1" applyBorder="1" applyAlignment="1" applyProtection="1">
      <alignment horizontal="right"/>
    </xf>
    <xf numFmtId="0" fontId="5" fillId="4" borderId="17" xfId="0" applyFont="1" applyFill="1" applyBorder="1" applyProtection="1"/>
    <xf numFmtId="0" fontId="5" fillId="4" borderId="1" xfId="0" applyFont="1" applyFill="1" applyBorder="1" applyAlignment="1" applyProtection="1">
      <alignment horizontal="right"/>
    </xf>
    <xf numFmtId="0" fontId="5" fillId="4" borderId="7" xfId="0" applyFont="1" applyFill="1" applyBorder="1" applyAlignment="1" applyProtection="1">
      <alignment horizontal="right"/>
    </xf>
    <xf numFmtId="0" fontId="5" fillId="4" borderId="1" xfId="0" applyFont="1" applyFill="1" applyBorder="1" applyProtection="1"/>
    <xf numFmtId="0" fontId="5" fillId="4" borderId="16" xfId="0" applyFont="1" applyFill="1" applyBorder="1" applyAlignment="1" applyProtection="1">
      <alignment horizontal="left"/>
    </xf>
    <xf numFmtId="0" fontId="5" fillId="4" borderId="15" xfId="0" applyFont="1" applyFill="1" applyBorder="1" applyProtection="1"/>
    <xf numFmtId="166" fontId="5" fillId="3" borderId="0" xfId="0" applyNumberFormat="1" applyFont="1" applyFill="1" applyBorder="1" applyProtection="1"/>
    <xf numFmtId="0" fontId="5" fillId="7" borderId="3" xfId="0" applyFont="1" applyFill="1" applyBorder="1" applyProtection="1"/>
    <xf numFmtId="168" fontId="5" fillId="7" borderId="18" xfId="0" applyNumberFormat="1" applyFont="1" applyFill="1" applyBorder="1" applyAlignment="1" applyProtection="1">
      <alignment horizontal="right"/>
    </xf>
    <xf numFmtId="0" fontId="5" fillId="7" borderId="1" xfId="0" applyNumberFormat="1" applyFont="1" applyFill="1" applyBorder="1" applyProtection="1"/>
    <xf numFmtId="166" fontId="10" fillId="0" borderId="0" xfId="0" applyNumberFormat="1" applyFont="1" applyProtection="1"/>
    <xf numFmtId="0" fontId="5" fillId="7" borderId="34" xfId="0" applyFont="1" applyFill="1" applyBorder="1" applyProtection="1"/>
    <xf numFmtId="179" fontId="5" fillId="7" borderId="44" xfId="0" applyNumberFormat="1" applyFont="1" applyFill="1" applyBorder="1" applyAlignment="1" applyProtection="1">
      <alignment horizontal="right"/>
    </xf>
    <xf numFmtId="0" fontId="5" fillId="7" borderId="21" xfId="0" applyFont="1" applyFill="1" applyBorder="1" applyProtection="1"/>
    <xf numFmtId="0" fontId="5" fillId="6" borderId="20" xfId="0" applyFont="1" applyFill="1" applyBorder="1" applyProtection="1"/>
    <xf numFmtId="0" fontId="10" fillId="3" borderId="0" xfId="0" applyFont="1" applyFill="1" applyBorder="1" applyProtection="1"/>
    <xf numFmtId="0" fontId="5" fillId="7" borderId="38" xfId="0" applyFont="1" applyFill="1" applyBorder="1" applyProtection="1"/>
    <xf numFmtId="0" fontId="5" fillId="7" borderId="4" xfId="0" applyFont="1" applyFill="1" applyBorder="1" applyProtection="1"/>
    <xf numFmtId="0" fontId="5" fillId="4" borderId="33" xfId="0" applyFont="1" applyFill="1" applyBorder="1" applyProtection="1"/>
    <xf numFmtId="0" fontId="11" fillId="7" borderId="4" xfId="0" applyFont="1" applyFill="1" applyBorder="1" applyProtection="1"/>
    <xf numFmtId="0" fontId="0" fillId="3" borderId="0" xfId="0" applyFill="1" applyBorder="1" applyProtection="1"/>
    <xf numFmtId="0" fontId="5" fillId="7" borderId="4" xfId="0" applyNumberFormat="1" applyFont="1" applyFill="1" applyBorder="1" applyProtection="1"/>
    <xf numFmtId="0" fontId="21" fillId="0" borderId="0" xfId="0" applyNumberFormat="1" applyFont="1" applyProtection="1"/>
    <xf numFmtId="165" fontId="15" fillId="3" borderId="0" xfId="0" applyNumberFormat="1" applyFont="1" applyFill="1" applyBorder="1" applyProtection="1"/>
    <xf numFmtId="164" fontId="15" fillId="3" borderId="16" xfId="0" applyNumberFormat="1" applyFont="1" applyFill="1" applyBorder="1" applyProtection="1"/>
    <xf numFmtId="0" fontId="15" fillId="3" borderId="13" xfId="0" applyFont="1" applyFill="1" applyBorder="1" applyProtection="1"/>
    <xf numFmtId="0" fontId="15" fillId="3" borderId="13" xfId="0" applyFont="1" applyFill="1" applyBorder="1" applyAlignment="1" applyProtection="1"/>
    <xf numFmtId="0" fontId="0" fillId="3" borderId="13" xfId="0" applyFill="1" applyBorder="1" applyProtection="1"/>
    <xf numFmtId="164" fontId="10" fillId="0" borderId="0" xfId="0" applyNumberFormat="1" applyFont="1" applyProtection="1"/>
    <xf numFmtId="164" fontId="12" fillId="4" borderId="20" xfId="0" applyNumberFormat="1" applyFont="1" applyFill="1" applyBorder="1" applyProtection="1"/>
    <xf numFmtId="0" fontId="12" fillId="4" borderId="21" xfId="0" applyFont="1" applyFill="1" applyBorder="1" applyProtection="1"/>
    <xf numFmtId="0" fontId="12" fillId="4" borderId="0" xfId="0" applyFont="1" applyFill="1" applyBorder="1" applyAlignment="1" applyProtection="1">
      <alignment horizontal="center"/>
    </xf>
    <xf numFmtId="0" fontId="12" fillId="4" borderId="4" xfId="0" applyFont="1" applyFill="1" applyBorder="1" applyProtection="1"/>
    <xf numFmtId="0" fontId="12" fillId="2" borderId="25" xfId="0" applyFont="1" applyFill="1" applyBorder="1" applyAlignment="1" applyProtection="1">
      <alignment horizontal="center"/>
    </xf>
    <xf numFmtId="0" fontId="12" fillId="7" borderId="25" xfId="0" applyFont="1" applyFill="1" applyBorder="1" applyProtection="1"/>
    <xf numFmtId="4" fontId="12" fillId="7" borderId="26" xfId="0" applyNumberFormat="1" applyFont="1" applyFill="1" applyBorder="1" applyProtection="1"/>
    <xf numFmtId="0" fontId="12" fillId="2" borderId="1" xfId="0" applyFont="1" applyFill="1" applyBorder="1" applyAlignment="1" applyProtection="1">
      <alignment horizontal="center"/>
    </xf>
    <xf numFmtId="0" fontId="12" fillId="7" borderId="1" xfId="0" applyFont="1" applyFill="1" applyBorder="1" applyProtection="1"/>
    <xf numFmtId="4" fontId="12" fillId="7" borderId="18" xfId="0" applyNumberFormat="1" applyFont="1" applyFill="1" applyBorder="1" applyProtection="1"/>
    <xf numFmtId="173" fontId="10" fillId="0" borderId="0" xfId="0" applyNumberFormat="1" applyFont="1" applyAlignment="1" applyProtection="1">
      <alignment horizontal="right"/>
    </xf>
    <xf numFmtId="173" fontId="10" fillId="0" borderId="0" xfId="0" applyNumberFormat="1" applyFont="1" applyProtection="1"/>
    <xf numFmtId="0" fontId="28" fillId="0" borderId="0" xfId="0" applyFont="1" applyProtection="1"/>
    <xf numFmtId="0" fontId="0" fillId="0" borderId="0" xfId="0" applyProtection="1"/>
    <xf numFmtId="0" fontId="12" fillId="2" borderId="19" xfId="0" applyFont="1" applyFill="1" applyBorder="1" applyAlignment="1" applyProtection="1">
      <alignment horizontal="center"/>
    </xf>
    <xf numFmtId="0" fontId="12" fillId="7" borderId="19" xfId="0" applyFont="1" applyFill="1" applyBorder="1" applyProtection="1"/>
    <xf numFmtId="4" fontId="12" fillId="7" borderId="44" xfId="0" applyNumberFormat="1" applyFont="1" applyFill="1" applyBorder="1" applyProtection="1"/>
    <xf numFmtId="4" fontId="12" fillId="7" borderId="16" xfId="0" applyNumberFormat="1" applyFont="1" applyFill="1" applyBorder="1" applyProtection="1"/>
    <xf numFmtId="164" fontId="5" fillId="0" borderId="0" xfId="0" applyNumberFormat="1" applyFont="1" applyProtection="1"/>
    <xf numFmtId="0" fontId="12" fillId="4" borderId="37" xfId="0" applyFont="1" applyFill="1" applyBorder="1" applyProtection="1"/>
    <xf numFmtId="0" fontId="12" fillId="4" borderId="35" xfId="0" applyFont="1" applyFill="1" applyBorder="1" applyProtection="1"/>
    <xf numFmtId="0" fontId="12" fillId="4" borderId="35" xfId="0" applyFont="1" applyFill="1" applyBorder="1" applyAlignment="1" applyProtection="1">
      <alignment horizontal="center"/>
    </xf>
    <xf numFmtId="0" fontId="12" fillId="4" borderId="40" xfId="0" applyFont="1" applyFill="1" applyBorder="1" applyProtection="1"/>
    <xf numFmtId="164" fontId="12" fillId="4" borderId="11" xfId="0" applyNumberFormat="1" applyFont="1" applyFill="1" applyBorder="1" applyProtection="1"/>
    <xf numFmtId="166" fontId="21" fillId="0" borderId="0" xfId="0" applyNumberFormat="1" applyFont="1" applyProtection="1"/>
    <xf numFmtId="166" fontId="5" fillId="0" borderId="0" xfId="0" applyNumberFormat="1" applyFont="1" applyProtection="1"/>
    <xf numFmtId="0" fontId="23" fillId="11" borderId="0" xfId="0" applyFont="1" applyFill="1" applyBorder="1" applyProtection="1"/>
    <xf numFmtId="0" fontId="23" fillId="11" borderId="16" xfId="0" applyFont="1" applyFill="1" applyBorder="1" applyProtection="1"/>
    <xf numFmtId="2" fontId="0" fillId="7" borderId="18" xfId="0" applyNumberFormat="1" applyFill="1" applyBorder="1" applyProtection="1"/>
    <xf numFmtId="171" fontId="0" fillId="7" borderId="18" xfId="0" applyNumberFormat="1" applyFill="1" applyBorder="1" applyProtection="1"/>
    <xf numFmtId="171" fontId="5" fillId="7" borderId="18" xfId="0" applyNumberFormat="1" applyFont="1" applyFill="1" applyBorder="1" applyProtection="1"/>
    <xf numFmtId="172" fontId="5" fillId="7" borderId="7" xfId="0" applyNumberFormat="1" applyFont="1" applyFill="1" applyBorder="1" applyAlignment="1" applyProtection="1">
      <alignment horizontal="center"/>
    </xf>
    <xf numFmtId="0" fontId="5" fillId="4" borderId="37" xfId="0" applyFont="1" applyFill="1" applyBorder="1" applyProtection="1"/>
    <xf numFmtId="0" fontId="5" fillId="7" borderId="7" xfId="0" applyFont="1" applyFill="1" applyBorder="1" applyAlignment="1" applyProtection="1">
      <alignment horizontal="center"/>
    </xf>
    <xf numFmtId="0" fontId="5" fillId="4" borderId="29" xfId="0" applyFont="1" applyFill="1" applyBorder="1" applyProtection="1"/>
    <xf numFmtId="164" fontId="21" fillId="0" borderId="0" xfId="0" applyNumberFormat="1" applyFont="1" applyProtection="1"/>
    <xf numFmtId="171" fontId="5" fillId="7" borderId="7" xfId="0" applyNumberFormat="1" applyFont="1" applyFill="1" applyBorder="1" applyAlignment="1" applyProtection="1">
      <alignment horizontal="center"/>
    </xf>
    <xf numFmtId="171" fontId="5" fillId="7" borderId="0" xfId="0" applyNumberFormat="1" applyFont="1" applyFill="1" applyBorder="1" applyProtection="1"/>
    <xf numFmtId="0" fontId="5" fillId="11" borderId="0" xfId="0" applyFont="1" applyFill="1" applyBorder="1" applyProtection="1"/>
    <xf numFmtId="0" fontId="5" fillId="11" borderId="16" xfId="0" applyFont="1" applyFill="1" applyBorder="1" applyProtection="1"/>
    <xf numFmtId="182" fontId="5" fillId="4" borderId="1" xfId="0" applyNumberFormat="1" applyFont="1" applyFill="1" applyBorder="1" applyProtection="1"/>
    <xf numFmtId="0" fontId="5" fillId="4" borderId="13" xfId="0" applyFont="1" applyFill="1" applyBorder="1" applyProtection="1"/>
    <xf numFmtId="0" fontId="5" fillId="7" borderId="19" xfId="0" applyFont="1" applyFill="1" applyBorder="1" applyAlignment="1" applyProtection="1">
      <alignment horizontal="center"/>
    </xf>
    <xf numFmtId="0" fontId="5" fillId="11" borderId="13" xfId="0" applyFont="1" applyFill="1" applyBorder="1" applyProtection="1"/>
    <xf numFmtId="0" fontId="23" fillId="11" borderId="14" xfId="0" applyFont="1" applyFill="1" applyBorder="1" applyProtection="1"/>
    <xf numFmtId="0" fontId="15" fillId="4" borderId="0" xfId="0" applyFont="1" applyFill="1" applyBorder="1" applyProtection="1"/>
    <xf numFmtId="0" fontId="15" fillId="0" borderId="16" xfId="0" applyFont="1" applyBorder="1" applyProtection="1"/>
    <xf numFmtId="0" fontId="5" fillId="7" borderId="45" xfId="0" applyNumberFormat="1" applyFont="1" applyFill="1" applyBorder="1" applyProtection="1"/>
    <xf numFmtId="2" fontId="0" fillId="7" borderId="24" xfId="0" applyNumberFormat="1" applyFill="1" applyBorder="1" applyProtection="1"/>
    <xf numFmtId="171" fontId="5" fillId="7" borderId="24" xfId="0" applyNumberFormat="1" applyFont="1" applyFill="1" applyBorder="1" applyProtection="1"/>
    <xf numFmtId="0" fontId="5" fillId="7" borderId="18" xfId="0" applyFont="1" applyFill="1" applyBorder="1" applyProtection="1"/>
    <xf numFmtId="0" fontId="0" fillId="7" borderId="16" xfId="0" applyFont="1" applyFill="1" applyBorder="1" applyProtection="1"/>
    <xf numFmtId="0" fontId="5" fillId="7" borderId="44" xfId="0" applyFont="1" applyFill="1" applyBorder="1" applyProtection="1"/>
    <xf numFmtId="0" fontId="5" fillId="7" borderId="24" xfId="0" applyFont="1" applyFill="1" applyBorder="1" applyProtection="1"/>
    <xf numFmtId="0" fontId="5" fillId="0" borderId="0" xfId="0" applyNumberFormat="1" applyFont="1" applyProtection="1"/>
    <xf numFmtId="0" fontId="15" fillId="4" borderId="12" xfId="0" applyFont="1" applyFill="1" applyBorder="1" applyAlignment="1" applyProtection="1">
      <alignment horizontal="center"/>
    </xf>
    <xf numFmtId="0" fontId="15" fillId="0" borderId="14" xfId="0" applyFont="1" applyBorder="1" applyProtection="1"/>
    <xf numFmtId="0" fontId="5" fillId="7" borderId="31" xfId="0" applyFont="1" applyFill="1" applyBorder="1" applyProtection="1"/>
    <xf numFmtId="0" fontId="5" fillId="7" borderId="1" xfId="0" applyFont="1" applyFill="1" applyBorder="1" applyProtection="1"/>
    <xf numFmtId="174" fontId="5" fillId="7" borderId="44" xfId="0" applyNumberFormat="1" applyFont="1" applyFill="1" applyBorder="1" applyAlignment="1" applyProtection="1">
      <alignment horizontal="right"/>
    </xf>
    <xf numFmtId="165" fontId="5" fillId="3" borderId="0" xfId="0" applyNumberFormat="1" applyFont="1" applyFill="1" applyBorder="1" applyProtection="1"/>
    <xf numFmtId="0" fontId="10" fillId="0" borderId="0" xfId="0" applyFont="1" applyBorder="1" applyProtection="1"/>
    <xf numFmtId="0" fontId="15" fillId="0" borderId="0" xfId="0" applyFont="1" applyBorder="1" applyProtection="1"/>
    <xf numFmtId="0" fontId="38" fillId="0" borderId="10" xfId="0" applyFont="1" applyBorder="1" applyProtection="1"/>
    <xf numFmtId="0" fontId="38" fillId="0" borderId="11" xfId="0" applyFont="1" applyBorder="1" applyProtection="1"/>
    <xf numFmtId="0" fontId="38" fillId="0" borderId="44" xfId="0" applyFont="1" applyBorder="1" applyProtection="1"/>
    <xf numFmtId="0" fontId="38" fillId="0" borderId="13" xfId="0" applyFont="1" applyBorder="1" applyProtection="1"/>
    <xf numFmtId="0" fontId="38" fillId="0" borderId="14" xfId="0" applyFont="1" applyBorder="1" applyProtection="1"/>
    <xf numFmtId="0" fontId="5" fillId="5" borderId="18" xfId="0" applyFont="1" applyFill="1" applyBorder="1" applyProtection="1">
      <protection locked="0"/>
    </xf>
    <xf numFmtId="0" fontId="0" fillId="5" borderId="18" xfId="0" applyFill="1" applyBorder="1" applyProtection="1">
      <protection locked="0"/>
    </xf>
    <xf numFmtId="1" fontId="38" fillId="0" borderId="28" xfId="0" applyNumberFormat="1" applyFont="1" applyBorder="1" applyProtection="1"/>
    <xf numFmtId="1" fontId="38" fillId="0" borderId="30" xfId="0" applyNumberFormat="1" applyFont="1" applyBorder="1" applyProtection="1"/>
    <xf numFmtId="1" fontId="38" fillId="0" borderId="26" xfId="0" applyNumberFormat="1" applyFont="1" applyBorder="1" applyProtection="1"/>
    <xf numFmtId="0" fontId="14" fillId="0" borderId="1" xfId="0" applyFont="1" applyBorder="1" applyAlignment="1">
      <alignment horizontal="center"/>
    </xf>
    <xf numFmtId="0" fontId="14" fillId="0" borderId="1" xfId="0" applyFont="1" applyFill="1" applyBorder="1" applyAlignment="1">
      <alignment horizontal="center"/>
    </xf>
    <xf numFmtId="0" fontId="14" fillId="0" borderId="0" xfId="0" applyFont="1" applyAlignment="1">
      <alignment horizontal="center"/>
    </xf>
    <xf numFmtId="186" fontId="14" fillId="0" borderId="1" xfId="0" applyNumberFormat="1" applyFont="1" applyBorder="1" applyAlignment="1">
      <alignment horizontal="center"/>
    </xf>
    <xf numFmtId="0" fontId="14" fillId="14" borderId="1" xfId="0" applyFont="1" applyFill="1" applyBorder="1" applyAlignment="1">
      <alignment horizontal="center"/>
    </xf>
    <xf numFmtId="0" fontId="28" fillId="0" borderId="0" xfId="0" applyFont="1" applyAlignment="1">
      <alignment horizontal="center"/>
    </xf>
    <xf numFmtId="0" fontId="0" fillId="0" borderId="0" xfId="0" applyAlignment="1">
      <alignment horizontal="center"/>
    </xf>
    <xf numFmtId="186" fontId="14" fillId="14" borderId="1" xfId="0" applyNumberFormat="1" applyFont="1" applyFill="1" applyBorder="1" applyAlignment="1">
      <alignment horizontal="center"/>
    </xf>
    <xf numFmtId="0" fontId="14" fillId="7" borderId="1" xfId="0" applyFont="1" applyFill="1" applyBorder="1" applyAlignment="1">
      <alignment horizontal="center"/>
    </xf>
    <xf numFmtId="0" fontId="22" fillId="11" borderId="18" xfId="0" applyFont="1" applyFill="1" applyBorder="1" applyAlignment="1">
      <alignment horizontal="center"/>
    </xf>
    <xf numFmtId="0" fontId="14" fillId="16" borderId="29" xfId="0" applyFont="1" applyFill="1" applyBorder="1" applyAlignment="1">
      <alignment horizontal="center"/>
    </xf>
    <xf numFmtId="0" fontId="22" fillId="11" borderId="44" xfId="0" applyFont="1" applyFill="1" applyBorder="1" applyAlignment="1">
      <alignment horizontal="center"/>
    </xf>
    <xf numFmtId="0" fontId="14" fillId="11" borderId="7" xfId="0" applyFont="1" applyFill="1" applyBorder="1" applyAlignment="1">
      <alignment horizontal="center"/>
    </xf>
    <xf numFmtId="0" fontId="14" fillId="14" borderId="7" xfId="0" applyFont="1" applyFill="1" applyBorder="1" applyAlignment="1">
      <alignment horizontal="center"/>
    </xf>
    <xf numFmtId="0" fontId="14" fillId="7" borderId="7" xfId="0" applyFont="1" applyFill="1" applyBorder="1" applyAlignment="1">
      <alignment horizontal="center"/>
    </xf>
    <xf numFmtId="0" fontId="14" fillId="16" borderId="66" xfId="0" applyFont="1" applyFill="1" applyBorder="1" applyAlignment="1">
      <alignment horizontal="center"/>
    </xf>
    <xf numFmtId="186" fontId="14" fillId="14" borderId="46" xfId="0" applyNumberFormat="1" applyFont="1" applyFill="1" applyBorder="1" applyAlignment="1">
      <alignment horizontal="center"/>
    </xf>
    <xf numFmtId="0" fontId="14" fillId="11" borderId="2" xfId="0" applyFont="1" applyFill="1" applyBorder="1" applyAlignment="1">
      <alignment horizontal="center"/>
    </xf>
    <xf numFmtId="0" fontId="14" fillId="16" borderId="19" xfId="0" applyFont="1" applyFill="1" applyBorder="1" applyAlignment="1">
      <alignment horizontal="center"/>
    </xf>
    <xf numFmtId="0" fontId="14" fillId="16" borderId="30" xfId="0" applyFont="1" applyFill="1" applyBorder="1" applyAlignment="1">
      <alignment horizontal="center"/>
    </xf>
    <xf numFmtId="0" fontId="14" fillId="11" borderId="67" xfId="0" applyFont="1" applyFill="1" applyBorder="1" applyAlignment="1">
      <alignment horizontal="center"/>
    </xf>
    <xf numFmtId="0" fontId="14" fillId="11" borderId="6" xfId="0" applyFont="1" applyFill="1" applyBorder="1" applyAlignment="1">
      <alignment horizontal="center"/>
    </xf>
    <xf numFmtId="0" fontId="14" fillId="7" borderId="6" xfId="0" applyFont="1" applyFill="1" applyBorder="1" applyAlignment="1">
      <alignment horizontal="center"/>
    </xf>
    <xf numFmtId="0" fontId="22" fillId="11" borderId="17" xfId="0" applyFont="1" applyFill="1" applyBorder="1" applyAlignment="1">
      <alignment horizontal="center"/>
    </xf>
    <xf numFmtId="0" fontId="22" fillId="11" borderId="29" xfId="0" applyFont="1" applyFill="1" applyBorder="1" applyAlignment="1">
      <alignment horizontal="center"/>
    </xf>
    <xf numFmtId="0" fontId="14" fillId="16" borderId="68" xfId="0" applyFont="1" applyFill="1" applyBorder="1" applyAlignment="1">
      <alignment horizontal="center"/>
    </xf>
    <xf numFmtId="0" fontId="14" fillId="11" borderId="52" xfId="0" applyFont="1" applyFill="1" applyBorder="1" applyAlignment="1">
      <alignment horizontal="center"/>
    </xf>
    <xf numFmtId="0" fontId="14" fillId="7" borderId="17" xfId="0" applyFont="1" applyFill="1" applyBorder="1" applyAlignment="1">
      <alignment horizontal="center"/>
    </xf>
    <xf numFmtId="191" fontId="14" fillId="7" borderId="1" xfId="0" applyNumberFormat="1" applyFont="1" applyFill="1" applyBorder="1" applyAlignment="1">
      <alignment horizontal="center"/>
    </xf>
    <xf numFmtId="186" fontId="14" fillId="7" borderId="1" xfId="0" applyNumberFormat="1" applyFont="1" applyFill="1" applyBorder="1" applyAlignment="1">
      <alignment horizontal="center"/>
    </xf>
    <xf numFmtId="0" fontId="14" fillId="7" borderId="29" xfId="0" applyFont="1" applyFill="1" applyBorder="1" applyAlignment="1">
      <alignment horizontal="center"/>
    </xf>
    <xf numFmtId="191" fontId="14" fillId="7" borderId="19" xfId="0" applyNumberFormat="1" applyFont="1" applyFill="1" applyBorder="1" applyAlignment="1">
      <alignment horizontal="center"/>
    </xf>
    <xf numFmtId="192" fontId="14" fillId="7" borderId="1" xfId="0" applyNumberFormat="1" applyFont="1" applyFill="1" applyBorder="1" applyAlignment="1">
      <alignment horizontal="right"/>
    </xf>
    <xf numFmtId="193" fontId="14" fillId="7" borderId="18" xfId="0" applyNumberFormat="1" applyFont="1" applyFill="1" applyBorder="1" applyAlignment="1">
      <alignment horizontal="right"/>
    </xf>
    <xf numFmtId="194" fontId="14" fillId="7" borderId="44" xfId="0" applyNumberFormat="1" applyFont="1" applyFill="1" applyBorder="1" applyAlignment="1">
      <alignment horizontal="right"/>
    </xf>
    <xf numFmtId="196" fontId="14" fillId="7" borderId="19" xfId="0" applyNumberFormat="1" applyFont="1" applyFill="1" applyBorder="1" applyAlignment="1">
      <alignment horizontal="right"/>
    </xf>
    <xf numFmtId="0" fontId="14" fillId="11" borderId="1" xfId="0" applyFont="1" applyFill="1" applyBorder="1" applyAlignment="1">
      <alignment horizontal="center"/>
    </xf>
    <xf numFmtId="0" fontId="15" fillId="3" borderId="0" xfId="0" applyFont="1" applyFill="1" applyBorder="1" applyProtection="1"/>
    <xf numFmtId="0" fontId="40" fillId="3" borderId="0" xfId="0" applyFont="1" applyFill="1" applyBorder="1" applyProtection="1"/>
    <xf numFmtId="0" fontId="15" fillId="0" borderId="0" xfId="0" applyNumberFormat="1" applyFont="1" applyProtection="1"/>
    <xf numFmtId="0" fontId="15" fillId="0" borderId="0" xfId="0" applyFont="1" applyProtection="1"/>
    <xf numFmtId="0" fontId="41" fillId="3" borderId="0" xfId="0" applyFont="1" applyFill="1" applyBorder="1" applyProtection="1"/>
    <xf numFmtId="166" fontId="10" fillId="3" borderId="0" xfId="0" applyNumberFormat="1" applyFont="1" applyFill="1" applyBorder="1" applyProtection="1"/>
    <xf numFmtId="0" fontId="41" fillId="3" borderId="0" xfId="0" applyFont="1" applyFill="1" applyBorder="1" applyProtection="1">
      <protection locked="0"/>
    </xf>
    <xf numFmtId="0" fontId="10" fillId="3" borderId="0" xfId="0" applyFont="1" applyFill="1" applyBorder="1" applyProtection="1">
      <protection locked="0"/>
    </xf>
    <xf numFmtId="164" fontId="5" fillId="7" borderId="11" xfId="0" applyNumberFormat="1" applyFont="1" applyFill="1" applyBorder="1" applyProtection="1"/>
    <xf numFmtId="164" fontId="5" fillId="7" borderId="4" xfId="0" applyNumberFormat="1" applyFont="1" applyFill="1" applyBorder="1" applyProtection="1"/>
    <xf numFmtId="0" fontId="5" fillId="7" borderId="39" xfId="0" applyFont="1" applyFill="1" applyBorder="1" applyProtection="1"/>
    <xf numFmtId="0" fontId="5" fillId="0" borderId="0" xfId="0" applyFont="1" applyProtection="1">
      <protection locked="0"/>
    </xf>
    <xf numFmtId="0" fontId="12" fillId="7" borderId="39" xfId="0" applyFont="1" applyFill="1" applyBorder="1" applyProtection="1">
      <protection locked="0"/>
    </xf>
    <xf numFmtId="0" fontId="5" fillId="7" borderId="4" xfId="0" applyFont="1" applyFill="1" applyBorder="1" applyProtection="1">
      <protection locked="0"/>
    </xf>
    <xf numFmtId="0" fontId="12" fillId="7" borderId="21" xfId="0" applyFont="1" applyFill="1" applyBorder="1" applyProtection="1">
      <protection locked="0"/>
    </xf>
    <xf numFmtId="0" fontId="12" fillId="7" borderId="38" xfId="0" applyFont="1" applyFill="1" applyBorder="1" applyProtection="1">
      <protection locked="0"/>
    </xf>
    <xf numFmtId="2" fontId="14" fillId="9" borderId="69" xfId="0" applyNumberFormat="1" applyFont="1" applyFill="1" applyBorder="1" applyAlignment="1" applyProtection="1">
      <alignment horizontal="right"/>
    </xf>
    <xf numFmtId="0" fontId="0" fillId="6" borderId="45" xfId="0" applyFill="1" applyBorder="1" applyAlignment="1" applyProtection="1">
      <alignment horizontal="center"/>
    </xf>
    <xf numFmtId="2" fontId="14" fillId="5" borderId="33" xfId="0" applyNumberFormat="1" applyFont="1" applyFill="1" applyBorder="1" applyAlignment="1" applyProtection="1">
      <alignment horizontal="right"/>
      <protection locked="0"/>
    </xf>
    <xf numFmtId="0" fontId="14" fillId="6" borderId="36" xfId="0" applyFont="1" applyFill="1" applyBorder="1" applyAlignment="1" applyProtection="1">
      <alignment horizontal="center"/>
    </xf>
    <xf numFmtId="175" fontId="0" fillId="5" borderId="4" xfId="0" applyNumberFormat="1" applyFont="1" applyFill="1" applyBorder="1" applyProtection="1"/>
    <xf numFmtId="199" fontId="0" fillId="9" borderId="4" xfId="0" applyNumberFormat="1" applyFont="1" applyFill="1" applyBorder="1" applyProtection="1"/>
    <xf numFmtId="0" fontId="5" fillId="4" borderId="10" xfId="0" applyFont="1" applyFill="1" applyBorder="1" applyProtection="1">
      <protection locked="0"/>
    </xf>
    <xf numFmtId="0" fontId="22" fillId="11" borderId="10" xfId="0" applyFont="1" applyFill="1" applyBorder="1" applyProtection="1">
      <protection locked="0"/>
    </xf>
    <xf numFmtId="0" fontId="23" fillId="11" borderId="11" xfId="0" applyFont="1" applyFill="1" applyBorder="1" applyProtection="1">
      <protection locked="0"/>
    </xf>
    <xf numFmtId="0" fontId="5" fillId="4" borderId="1" xfId="0" applyFont="1" applyFill="1" applyBorder="1" applyProtection="1">
      <protection locked="0"/>
    </xf>
    <xf numFmtId="0" fontId="23" fillId="11" borderId="0" xfId="0" applyFont="1" applyFill="1" applyBorder="1" applyProtection="1">
      <protection locked="0"/>
    </xf>
    <xf numFmtId="0" fontId="23" fillId="11" borderId="16" xfId="0" applyFont="1" applyFill="1" applyBorder="1" applyProtection="1">
      <protection locked="0"/>
    </xf>
    <xf numFmtId="0" fontId="22" fillId="11" borderId="0" xfId="0" applyFont="1" applyFill="1" applyBorder="1" applyProtection="1">
      <protection locked="0"/>
    </xf>
    <xf numFmtId="0" fontId="5" fillId="4" borderId="36" xfId="0" applyFont="1" applyFill="1" applyBorder="1" applyProtection="1">
      <protection locked="0"/>
    </xf>
    <xf numFmtId="164" fontId="5" fillId="0" borderId="0" xfId="0" applyNumberFormat="1" applyFont="1" applyProtection="1">
      <protection locked="0"/>
    </xf>
    <xf numFmtId="201" fontId="4" fillId="3" borderId="0" xfId="0" applyNumberFormat="1" applyFont="1" applyFill="1" applyBorder="1" applyProtection="1"/>
    <xf numFmtId="200" fontId="4" fillId="3" borderId="0" xfId="0" applyNumberFormat="1" applyFont="1" applyFill="1" applyBorder="1" applyProtection="1"/>
    <xf numFmtId="202" fontId="4" fillId="3" borderId="16" xfId="0" applyNumberFormat="1" applyFont="1" applyFill="1" applyBorder="1" applyAlignment="1" applyProtection="1">
      <alignment horizontal="right"/>
    </xf>
    <xf numFmtId="201" fontId="4" fillId="3" borderId="13" xfId="0" applyNumberFormat="1" applyFont="1" applyFill="1" applyBorder="1" applyProtection="1"/>
    <xf numFmtId="200" fontId="4" fillId="3" borderId="13" xfId="0" applyNumberFormat="1" applyFont="1" applyFill="1" applyBorder="1" applyProtection="1"/>
    <xf numFmtId="202" fontId="4" fillId="3" borderId="14" xfId="0" applyNumberFormat="1" applyFont="1" applyFill="1" applyBorder="1" applyAlignment="1" applyProtection="1">
      <alignment horizontal="right"/>
    </xf>
    <xf numFmtId="202" fontId="4" fillId="3" borderId="16" xfId="0" applyNumberFormat="1" applyFont="1" applyFill="1" applyBorder="1" applyProtection="1"/>
    <xf numFmtId="0" fontId="5" fillId="4" borderId="27" xfId="0" applyFont="1" applyFill="1" applyBorder="1" applyProtection="1"/>
    <xf numFmtId="171" fontId="5" fillId="5" borderId="26" xfId="0" applyNumberFormat="1" applyFont="1" applyFill="1" applyBorder="1" applyProtection="1">
      <protection locked="0"/>
    </xf>
    <xf numFmtId="0" fontId="5" fillId="5" borderId="18" xfId="0" applyNumberFormat="1" applyFont="1" applyFill="1" applyBorder="1" applyProtection="1">
      <protection locked="0"/>
    </xf>
    <xf numFmtId="0" fontId="5" fillId="5" borderId="44" xfId="0" applyNumberFormat="1" applyFont="1" applyFill="1" applyBorder="1" applyProtection="1">
      <protection locked="0"/>
    </xf>
    <xf numFmtId="0" fontId="14" fillId="3" borderId="9" xfId="0" applyFont="1" applyFill="1" applyBorder="1"/>
    <xf numFmtId="0" fontId="14" fillId="3" borderId="10" xfId="0" applyFont="1" applyFill="1" applyBorder="1"/>
    <xf numFmtId="0" fontId="14" fillId="3" borderId="11" xfId="0" applyFont="1" applyFill="1" applyBorder="1"/>
    <xf numFmtId="0" fontId="14" fillId="3" borderId="0" xfId="0" applyFont="1" applyFill="1" applyBorder="1"/>
    <xf numFmtId="0" fontId="14" fillId="3" borderId="16" xfId="0" applyFont="1" applyFill="1" applyBorder="1"/>
    <xf numFmtId="0" fontId="14" fillId="3" borderId="15" xfId="0" applyFont="1" applyFill="1" applyBorder="1"/>
    <xf numFmtId="0" fontId="14" fillId="3" borderId="17" xfId="0" applyFont="1" applyFill="1" applyBorder="1"/>
    <xf numFmtId="0" fontId="14" fillId="3" borderId="1" xfId="0" applyFont="1" applyFill="1" applyBorder="1"/>
    <xf numFmtId="0" fontId="14" fillId="14" borderId="17" xfId="0" applyFont="1" applyFill="1" applyBorder="1"/>
    <xf numFmtId="0" fontId="14" fillId="14" borderId="1" xfId="0" applyFont="1" applyFill="1" applyBorder="1"/>
    <xf numFmtId="0" fontId="14" fillId="7" borderId="1" xfId="0" applyFont="1" applyFill="1" applyBorder="1"/>
    <xf numFmtId="0" fontId="14" fillId="3" borderId="12" xfId="0" applyFont="1" applyFill="1" applyBorder="1"/>
    <xf numFmtId="0" fontId="14" fillId="3" borderId="13" xfId="0" applyFont="1" applyFill="1" applyBorder="1"/>
    <xf numFmtId="0" fontId="14" fillId="3" borderId="14" xfId="0" applyFont="1" applyFill="1" applyBorder="1"/>
    <xf numFmtId="0" fontId="14" fillId="3" borderId="0" xfId="0" applyFont="1" applyFill="1" applyBorder="1" applyAlignment="1">
      <alignment horizontal="right" vertical="center"/>
    </xf>
    <xf numFmtId="0" fontId="14" fillId="3" borderId="16"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14" xfId="0" applyFont="1" applyFill="1" applyBorder="1" applyAlignment="1">
      <alignment horizontal="right" vertical="center"/>
    </xf>
    <xf numFmtId="0" fontId="30" fillId="0" borderId="9" xfId="0" applyFont="1" applyBorder="1" applyProtection="1"/>
    <xf numFmtId="0" fontId="30" fillId="0" borderId="10" xfId="0" applyFont="1" applyBorder="1" applyProtection="1"/>
    <xf numFmtId="164" fontId="30" fillId="0" borderId="10" xfId="0" applyNumberFormat="1" applyFont="1" applyBorder="1" applyProtection="1"/>
    <xf numFmtId="164" fontId="30" fillId="0" borderId="11" xfId="0" applyNumberFormat="1" applyFont="1" applyBorder="1" applyProtection="1"/>
    <xf numFmtId="0" fontId="30" fillId="0" borderId="0" xfId="0" applyNumberFormat="1" applyFont="1" applyProtection="1">
      <protection hidden="1"/>
    </xf>
    <xf numFmtId="0" fontId="30" fillId="3" borderId="15" xfId="0" applyFont="1" applyFill="1" applyBorder="1" applyProtection="1"/>
    <xf numFmtId="0" fontId="30" fillId="3" borderId="0" xfId="0" applyFont="1" applyFill="1" applyBorder="1" applyProtection="1"/>
    <xf numFmtId="0" fontId="30" fillId="3" borderId="0" xfId="0" applyFont="1" applyFill="1" applyBorder="1" applyAlignment="1" applyProtection="1"/>
    <xf numFmtId="0" fontId="30" fillId="3" borderId="16" xfId="0" applyFont="1" applyFill="1" applyBorder="1" applyAlignment="1" applyProtection="1"/>
    <xf numFmtId="164" fontId="30" fillId="0" borderId="0" xfId="0" applyNumberFormat="1" applyFont="1" applyProtection="1"/>
    <xf numFmtId="0" fontId="30" fillId="3" borderId="9" xfId="0" applyFont="1" applyFill="1" applyBorder="1" applyProtection="1"/>
    <xf numFmtId="0" fontId="30" fillId="3" borderId="10" xfId="0" applyFont="1" applyFill="1" applyBorder="1" applyProtection="1"/>
    <xf numFmtId="164" fontId="30" fillId="3" borderId="10" xfId="0" applyNumberFormat="1" applyFont="1" applyFill="1" applyBorder="1" applyProtection="1"/>
    <xf numFmtId="164" fontId="30" fillId="3" borderId="11" xfId="0" applyNumberFormat="1" applyFont="1" applyFill="1" applyBorder="1" applyProtection="1"/>
    <xf numFmtId="0" fontId="30" fillId="3" borderId="12" xfId="0" applyFont="1" applyFill="1" applyBorder="1" applyProtection="1"/>
    <xf numFmtId="0" fontId="30" fillId="3" borderId="13" xfId="0" applyFont="1" applyFill="1" applyBorder="1" applyProtection="1"/>
    <xf numFmtId="0" fontId="30" fillId="4" borderId="4" xfId="0" applyFont="1" applyFill="1" applyBorder="1" applyAlignment="1" applyProtection="1">
      <alignment vertical="top"/>
    </xf>
    <xf numFmtId="0" fontId="30" fillId="4" borderId="4" xfId="0" applyFont="1" applyFill="1" applyBorder="1" applyAlignment="1" applyProtection="1"/>
    <xf numFmtId="0" fontId="30" fillId="4" borderId="4" xfId="0" applyFont="1" applyFill="1" applyBorder="1" applyAlignment="1" applyProtection="1">
      <alignment horizontal="left" vertical="top"/>
    </xf>
    <xf numFmtId="0" fontId="30" fillId="4" borderId="21" xfId="0" applyFont="1" applyFill="1" applyBorder="1" applyAlignment="1" applyProtection="1">
      <alignment horizontal="left" vertical="top"/>
    </xf>
    <xf numFmtId="0" fontId="30" fillId="4" borderId="39" xfId="0" applyFont="1" applyFill="1" applyBorder="1" applyAlignment="1" applyProtection="1">
      <alignment horizontal="center" vertical="center"/>
    </xf>
    <xf numFmtId="0" fontId="45" fillId="4" borderId="55" xfId="0" applyFont="1" applyFill="1" applyBorder="1" applyAlignment="1" applyProtection="1">
      <alignment horizontal="center"/>
    </xf>
    <xf numFmtId="0" fontId="45" fillId="4" borderId="56" xfId="0" applyFont="1" applyFill="1" applyBorder="1" applyAlignment="1" applyProtection="1">
      <alignment horizontal="center"/>
    </xf>
    <xf numFmtId="183" fontId="45" fillId="4" borderId="56" xfId="0" applyNumberFormat="1" applyFont="1" applyFill="1" applyBorder="1" applyAlignment="1" applyProtection="1">
      <alignment horizontal="center"/>
    </xf>
    <xf numFmtId="183" fontId="45" fillId="4" borderId="57" xfId="0" applyNumberFormat="1" applyFont="1" applyFill="1" applyBorder="1" applyAlignment="1" applyProtection="1">
      <alignment horizontal="center"/>
    </xf>
    <xf numFmtId="0" fontId="45" fillId="4" borderId="54" xfId="0" applyFont="1" applyFill="1" applyBorder="1" applyAlignment="1" applyProtection="1">
      <alignment horizontal="center"/>
    </xf>
    <xf numFmtId="0" fontId="38" fillId="3" borderId="27" xfId="0" applyFont="1" applyFill="1" applyBorder="1" applyProtection="1"/>
    <xf numFmtId="0" fontId="38" fillId="3" borderId="25" xfId="0" applyFont="1" applyFill="1" applyBorder="1" applyProtection="1"/>
    <xf numFmtId="0" fontId="38" fillId="3" borderId="25" xfId="0" applyFont="1" applyFill="1" applyBorder="1" applyAlignment="1" applyProtection="1">
      <alignment horizontal="right"/>
    </xf>
    <xf numFmtId="164" fontId="38" fillId="5" borderId="25" xfId="0" applyNumberFormat="1" applyFont="1" applyFill="1" applyBorder="1" applyProtection="1">
      <protection locked="0"/>
    </xf>
    <xf numFmtId="164" fontId="38" fillId="5" borderId="26" xfId="0" applyNumberFormat="1" applyFont="1" applyFill="1" applyBorder="1" applyProtection="1">
      <protection locked="0"/>
    </xf>
    <xf numFmtId="0" fontId="38" fillId="3" borderId="42" xfId="0" applyFont="1" applyFill="1" applyBorder="1" applyProtection="1"/>
    <xf numFmtId="0" fontId="38" fillId="3" borderId="17" xfId="0" applyFont="1" applyFill="1" applyBorder="1" applyProtection="1"/>
    <xf numFmtId="0" fontId="38" fillId="3" borderId="1" xfId="0" applyFont="1" applyFill="1" applyBorder="1" applyProtection="1"/>
    <xf numFmtId="0" fontId="38" fillId="3" borderId="1" xfId="0" applyFont="1" applyFill="1" applyBorder="1" applyAlignment="1" applyProtection="1">
      <alignment horizontal="right"/>
    </xf>
    <xf numFmtId="164" fontId="38" fillId="5" borderId="1" xfId="0" applyNumberFormat="1" applyFont="1" applyFill="1" applyBorder="1" applyProtection="1">
      <protection locked="0"/>
    </xf>
    <xf numFmtId="164" fontId="38" fillId="5" borderId="18" xfId="0" applyNumberFormat="1" applyFont="1" applyFill="1" applyBorder="1" applyProtection="1">
      <protection locked="0"/>
    </xf>
    <xf numFmtId="0" fontId="38" fillId="3" borderId="43" xfId="0" applyFont="1" applyFill="1" applyBorder="1" applyProtection="1"/>
    <xf numFmtId="0" fontId="38" fillId="3" borderId="19" xfId="0" applyFont="1" applyFill="1" applyBorder="1" applyProtection="1"/>
    <xf numFmtId="0" fontId="38" fillId="3" borderId="19" xfId="0" applyFont="1" applyFill="1" applyBorder="1" applyAlignment="1" applyProtection="1">
      <alignment horizontal="right"/>
    </xf>
    <xf numFmtId="164" fontId="38" fillId="5" borderId="19" xfId="0" applyNumberFormat="1" applyFont="1" applyFill="1" applyBorder="1" applyProtection="1">
      <protection locked="0"/>
    </xf>
    <xf numFmtId="164" fontId="38" fillId="5" borderId="44" xfId="0" applyNumberFormat="1" applyFont="1" applyFill="1" applyBorder="1" applyProtection="1">
      <protection locked="0"/>
    </xf>
    <xf numFmtId="0" fontId="38" fillId="7" borderId="59" xfId="0" applyFont="1" applyFill="1" applyBorder="1" applyProtection="1"/>
    <xf numFmtId="0" fontId="38" fillId="7" borderId="48" xfId="0" applyFont="1" applyFill="1" applyBorder="1" applyProtection="1"/>
    <xf numFmtId="164" fontId="38" fillId="7" borderId="49" xfId="0" applyNumberFormat="1" applyFont="1" applyFill="1" applyBorder="1" applyProtection="1"/>
    <xf numFmtId="0" fontId="45" fillId="4" borderId="58" xfId="0" applyFont="1" applyFill="1" applyBorder="1" applyAlignment="1" applyProtection="1">
      <alignment horizontal="center"/>
    </xf>
    <xf numFmtId="0" fontId="45" fillId="4" borderId="8" xfId="0" applyFont="1" applyFill="1" applyBorder="1" applyAlignment="1" applyProtection="1">
      <alignment horizontal="center"/>
    </xf>
    <xf numFmtId="183" fontId="45" fillId="4" borderId="8" xfId="0" applyNumberFormat="1" applyFont="1" applyFill="1" applyBorder="1" applyAlignment="1" applyProtection="1">
      <alignment horizontal="center"/>
    </xf>
    <xf numFmtId="164" fontId="38" fillId="4" borderId="5" xfId="0" applyNumberFormat="1" applyFont="1" applyFill="1" applyBorder="1" applyProtection="1"/>
    <xf numFmtId="0" fontId="38" fillId="3" borderId="29" xfId="0" applyFont="1" applyFill="1" applyBorder="1" applyProtection="1"/>
    <xf numFmtId="0" fontId="38" fillId="3" borderId="46" xfId="0" applyFont="1" applyFill="1" applyBorder="1" applyProtection="1"/>
    <xf numFmtId="0" fontId="38" fillId="3" borderId="2" xfId="0" applyFont="1" applyFill="1" applyBorder="1" applyProtection="1"/>
    <xf numFmtId="0" fontId="38" fillId="3" borderId="2" xfId="0" applyFont="1" applyFill="1" applyBorder="1" applyAlignment="1" applyProtection="1">
      <alignment horizontal="right"/>
    </xf>
    <xf numFmtId="164" fontId="38" fillId="5" borderId="2" xfId="0" applyNumberFormat="1" applyFont="1" applyFill="1" applyBorder="1" applyProtection="1">
      <protection locked="0"/>
    </xf>
    <xf numFmtId="164" fontId="38" fillId="5" borderId="45" xfId="0" applyNumberFormat="1" applyFont="1" applyFill="1" applyBorder="1" applyProtection="1">
      <protection locked="0"/>
    </xf>
    <xf numFmtId="0" fontId="38" fillId="7" borderId="47" xfId="0" applyFont="1" applyFill="1" applyBorder="1" applyAlignment="1" applyProtection="1"/>
    <xf numFmtId="0" fontId="38" fillId="7" borderId="48" xfId="0" applyFont="1" applyFill="1" applyBorder="1" applyAlignment="1" applyProtection="1"/>
    <xf numFmtId="164" fontId="38" fillId="7" borderId="49" xfId="0" applyNumberFormat="1" applyFont="1" applyFill="1" applyBorder="1" applyAlignment="1" applyProtection="1"/>
    <xf numFmtId="0" fontId="38" fillId="3" borderId="33" xfId="0" applyFont="1" applyFill="1" applyBorder="1" applyProtection="1"/>
    <xf numFmtId="0" fontId="38" fillId="3" borderId="3" xfId="0" applyFont="1" applyFill="1" applyBorder="1" applyProtection="1"/>
    <xf numFmtId="164" fontId="38" fillId="5" borderId="3" xfId="0" applyNumberFormat="1" applyFont="1" applyFill="1" applyBorder="1" applyProtection="1">
      <protection locked="0"/>
    </xf>
    <xf numFmtId="0" fontId="38" fillId="7" borderId="34" xfId="0" applyFont="1" applyFill="1" applyBorder="1" applyProtection="1"/>
    <xf numFmtId="0" fontId="38" fillId="7" borderId="8" xfId="0" applyFont="1" applyFill="1" applyBorder="1" applyProtection="1"/>
    <xf numFmtId="164" fontId="38" fillId="7" borderId="5" xfId="0" applyNumberFormat="1" applyFont="1" applyFill="1" applyBorder="1" applyProtection="1"/>
    <xf numFmtId="164" fontId="38" fillId="5" borderId="6" xfId="0" applyNumberFormat="1" applyFont="1" applyFill="1" applyBorder="1" applyProtection="1">
      <protection locked="0"/>
    </xf>
    <xf numFmtId="0" fontId="38" fillId="3" borderId="35" xfId="0" applyFont="1" applyFill="1" applyBorder="1" applyAlignment="1" applyProtection="1">
      <alignment horizontal="right"/>
    </xf>
    <xf numFmtId="164" fontId="38" fillId="5" borderId="30" xfId="0" applyNumberFormat="1" applyFont="1" applyFill="1" applyBorder="1" applyProtection="1">
      <protection locked="0"/>
    </xf>
    <xf numFmtId="0" fontId="45" fillId="4" borderId="5" xfId="0" applyFont="1" applyFill="1" applyBorder="1" applyAlignment="1" applyProtection="1">
      <alignment horizontal="center"/>
    </xf>
    <xf numFmtId="0" fontId="30" fillId="0" borderId="0" xfId="0" applyFont="1" applyBorder="1" applyProtection="1"/>
    <xf numFmtId="0" fontId="45" fillId="4" borderId="34" xfId="0" applyFont="1" applyFill="1" applyBorder="1" applyAlignment="1" applyProtection="1">
      <alignment horizontal="center"/>
    </xf>
    <xf numFmtId="183" fontId="45" fillId="4" borderId="5" xfId="0" applyNumberFormat="1" applyFont="1" applyFill="1" applyBorder="1" applyAlignment="1" applyProtection="1">
      <alignment horizontal="center"/>
    </xf>
    <xf numFmtId="0" fontId="38" fillId="3" borderId="36" xfId="0" applyFont="1" applyFill="1" applyBorder="1" applyProtection="1"/>
    <xf numFmtId="0" fontId="38" fillId="3" borderId="2" xfId="0" applyFont="1" applyFill="1" applyBorder="1" applyProtection="1">
      <protection locked="0"/>
    </xf>
    <xf numFmtId="164" fontId="30" fillId="5" borderId="1" xfId="0" applyNumberFormat="1" applyFont="1" applyFill="1" applyBorder="1" applyProtection="1">
      <protection locked="0"/>
    </xf>
    <xf numFmtId="0" fontId="38" fillId="7" borderId="34" xfId="0" applyFont="1" applyFill="1" applyBorder="1" applyAlignment="1" applyProtection="1"/>
    <xf numFmtId="0" fontId="38" fillId="7" borderId="8" xfId="0" applyFont="1" applyFill="1" applyBorder="1" applyAlignment="1" applyProtection="1"/>
    <xf numFmtId="164" fontId="38" fillId="7" borderId="5" xfId="0" applyNumberFormat="1" applyFont="1" applyFill="1" applyBorder="1" applyAlignment="1" applyProtection="1"/>
    <xf numFmtId="164" fontId="30" fillId="5" borderId="3" xfId="0" applyNumberFormat="1" applyFont="1" applyFill="1" applyBorder="1" applyProtection="1">
      <protection locked="0"/>
    </xf>
    <xf numFmtId="0" fontId="30" fillId="0" borderId="13" xfId="0" applyFont="1" applyBorder="1" applyProtection="1"/>
    <xf numFmtId="197" fontId="30" fillId="3" borderId="4" xfId="0" applyNumberFormat="1" applyFont="1" applyFill="1" applyBorder="1" applyAlignment="1" applyProtection="1"/>
    <xf numFmtId="0" fontId="30" fillId="4" borderId="22" xfId="0" applyFont="1" applyFill="1" applyBorder="1" applyAlignment="1" applyProtection="1"/>
    <xf numFmtId="165" fontId="30" fillId="5" borderId="22" xfId="0" applyNumberFormat="1" applyFont="1" applyFill="1" applyBorder="1" applyProtection="1">
      <protection locked="0"/>
    </xf>
    <xf numFmtId="164" fontId="30" fillId="7" borderId="4" xfId="0" applyNumberFormat="1" applyFont="1" applyFill="1" applyBorder="1" applyProtection="1"/>
    <xf numFmtId="0" fontId="30" fillId="4" borderId="4" xfId="0" applyFont="1" applyFill="1" applyBorder="1" applyAlignment="1" applyProtection="1">
      <alignment horizontal="left"/>
    </xf>
    <xf numFmtId="0" fontId="47" fillId="4" borderId="22" xfId="0" applyFont="1" applyFill="1" applyBorder="1" applyAlignment="1" applyProtection="1">
      <alignment horizontal="center"/>
    </xf>
    <xf numFmtId="164" fontId="30" fillId="5" borderId="4" xfId="0" applyNumberFormat="1" applyFont="1" applyFill="1" applyBorder="1" applyProtection="1">
      <protection locked="0"/>
    </xf>
    <xf numFmtId="0" fontId="30" fillId="4" borderId="9" xfId="0" applyFont="1" applyFill="1" applyBorder="1" applyAlignment="1" applyProtection="1"/>
    <xf numFmtId="0" fontId="38" fillId="0" borderId="17" xfId="0" applyFont="1" applyFill="1" applyBorder="1" applyProtection="1"/>
    <xf numFmtId="0" fontId="38" fillId="0" borderId="1" xfId="0" applyFont="1" applyFill="1" applyBorder="1" applyProtection="1"/>
    <xf numFmtId="0" fontId="38" fillId="0" borderId="1" xfId="0" applyFont="1" applyFill="1" applyBorder="1" applyAlignment="1" applyProtection="1">
      <alignment horizontal="right"/>
    </xf>
    <xf numFmtId="0" fontId="38" fillId="0" borderId="25" xfId="0" applyFont="1" applyFill="1" applyBorder="1" applyProtection="1">
      <protection locked="0"/>
    </xf>
    <xf numFmtId="0" fontId="38" fillId="0" borderId="2" xfId="0" applyFont="1" applyFill="1" applyBorder="1" applyProtection="1">
      <protection locked="0"/>
    </xf>
    <xf numFmtId="0" fontId="38" fillId="0" borderId="3" xfId="0" applyFont="1" applyFill="1" applyBorder="1" applyProtection="1">
      <protection locked="0"/>
    </xf>
    <xf numFmtId="0" fontId="30" fillId="0" borderId="3" xfId="0" applyFont="1" applyFill="1" applyBorder="1" applyProtection="1">
      <protection locked="0"/>
    </xf>
    <xf numFmtId="0" fontId="0" fillId="0" borderId="3" xfId="0" applyFont="1" applyBorder="1" applyAlignment="1"/>
    <xf numFmtId="0" fontId="0" fillId="0" borderId="35" xfId="0" applyFont="1" applyBorder="1" applyAlignment="1"/>
    <xf numFmtId="0" fontId="0" fillId="0" borderId="2" xfId="0" applyFont="1" applyBorder="1" applyAlignment="1"/>
    <xf numFmtId="0" fontId="14" fillId="16" borderId="1" xfId="0" applyFont="1" applyFill="1" applyBorder="1" applyAlignment="1">
      <alignment vertical="center"/>
    </xf>
    <xf numFmtId="0" fontId="14" fillId="16" borderId="1" xfId="0" applyFont="1" applyFill="1" applyBorder="1" applyAlignment="1"/>
    <xf numFmtId="164" fontId="30" fillId="5" borderId="3" xfId="0" applyNumberFormat="1" applyFont="1" applyFill="1" applyBorder="1" applyProtection="1"/>
    <xf numFmtId="0" fontId="30" fillId="0" borderId="2" xfId="0" applyFont="1" applyFill="1" applyBorder="1" applyProtection="1">
      <protection locked="0"/>
    </xf>
    <xf numFmtId="164" fontId="30" fillId="5" borderId="2" xfId="0" applyNumberFormat="1" applyFont="1" applyFill="1" applyBorder="1" applyProtection="1">
      <protection locked="0"/>
    </xf>
    <xf numFmtId="0" fontId="45" fillId="4" borderId="8" xfId="0" applyFont="1" applyFill="1" applyBorder="1" applyAlignment="1" applyProtection="1"/>
    <xf numFmtId="164" fontId="45" fillId="4" borderId="5" xfId="0" applyNumberFormat="1" applyFont="1" applyFill="1" applyBorder="1" applyAlignment="1" applyProtection="1">
      <alignment horizontal="center"/>
    </xf>
    <xf numFmtId="164" fontId="30" fillId="5" borderId="44" xfId="0" applyNumberFormat="1" applyFont="1" applyFill="1" applyBorder="1" applyProtection="1"/>
    <xf numFmtId="164" fontId="38" fillId="5" borderId="49" xfId="0" applyNumberFormat="1" applyFont="1" applyFill="1" applyBorder="1" applyProtection="1">
      <protection locked="0"/>
    </xf>
    <xf numFmtId="0" fontId="38" fillId="0" borderId="29" xfId="0" applyFont="1" applyFill="1" applyBorder="1" applyAlignment="1" applyProtection="1">
      <alignment horizontal="left"/>
      <protection locked="0"/>
    </xf>
    <xf numFmtId="0" fontId="30" fillId="4" borderId="4" xfId="0" applyFont="1" applyFill="1" applyBorder="1" applyProtection="1"/>
    <xf numFmtId="0" fontId="38" fillId="0" borderId="27" xfId="0" applyFont="1" applyFill="1" applyBorder="1" applyProtection="1"/>
    <xf numFmtId="0" fontId="38" fillId="0" borderId="25" xfId="0" applyFont="1" applyFill="1" applyBorder="1" applyProtection="1"/>
    <xf numFmtId="0" fontId="38" fillId="0" borderId="25" xfId="0" applyFont="1" applyFill="1" applyBorder="1" applyAlignment="1" applyProtection="1">
      <alignment horizontal="right"/>
    </xf>
    <xf numFmtId="197" fontId="30" fillId="0" borderId="4" xfId="0" applyNumberFormat="1" applyFont="1" applyFill="1" applyBorder="1" applyAlignment="1" applyProtection="1"/>
    <xf numFmtId="0" fontId="30" fillId="0" borderId="0" xfId="0" applyNumberFormat="1" applyFont="1" applyAlignment="1" applyProtection="1">
      <alignment horizontal="right"/>
    </xf>
    <xf numFmtId="0" fontId="30" fillId="0" borderId="0" xfId="0" applyFont="1" applyProtection="1">
      <protection hidden="1"/>
    </xf>
    <xf numFmtId="0" fontId="38" fillId="0" borderId="0" xfId="0" applyFont="1" applyProtection="1"/>
    <xf numFmtId="0" fontId="38" fillId="0" borderId="0" xfId="0" applyNumberFormat="1" applyFont="1" applyProtection="1"/>
    <xf numFmtId="164" fontId="30" fillId="5" borderId="18" xfId="0" applyNumberFormat="1" applyFont="1" applyFill="1" applyBorder="1" applyProtection="1"/>
    <xf numFmtId="164" fontId="30" fillId="5" borderId="1" xfId="0" applyNumberFormat="1" applyFont="1" applyFill="1" applyBorder="1" applyProtection="1"/>
    <xf numFmtId="0" fontId="30" fillId="0" borderId="2" xfId="0" applyFont="1" applyBorder="1" applyProtection="1"/>
    <xf numFmtId="0" fontId="38" fillId="3" borderId="19" xfId="0" applyFont="1" applyFill="1" applyBorder="1" applyProtection="1">
      <protection locked="0"/>
    </xf>
    <xf numFmtId="0" fontId="30" fillId="0" borderId="33" xfId="0" applyFont="1" applyBorder="1" applyProtection="1"/>
    <xf numFmtId="0" fontId="30" fillId="0" borderId="3" xfId="0" applyFont="1" applyBorder="1" applyProtection="1"/>
    <xf numFmtId="164" fontId="38" fillId="5" borderId="69" xfId="0" applyNumberFormat="1" applyFont="1" applyFill="1" applyBorder="1" applyProtection="1">
      <protection locked="0"/>
    </xf>
    <xf numFmtId="0" fontId="16" fillId="0" borderId="0" xfId="0" applyNumberFormat="1" applyFont="1" applyAlignment="1" applyProtection="1">
      <alignment horizontal="right"/>
    </xf>
    <xf numFmtId="0" fontId="16" fillId="0" borderId="0" xfId="0" applyFont="1" applyAlignment="1" applyProtection="1">
      <alignment horizontal="center"/>
    </xf>
    <xf numFmtId="0" fontId="16" fillId="0" borderId="0" xfId="0" applyNumberFormat="1" applyFont="1" applyAlignment="1" applyProtection="1">
      <alignment horizontal="right"/>
      <protection hidden="1"/>
    </xf>
    <xf numFmtId="0" fontId="16" fillId="0" borderId="0" xfId="0" applyNumberFormat="1" applyFont="1" applyAlignment="1" applyProtection="1">
      <alignment horizontal="center"/>
      <protection hidden="1"/>
    </xf>
    <xf numFmtId="0" fontId="16" fillId="0" borderId="0" xfId="0" applyFont="1" applyBorder="1" applyProtection="1"/>
    <xf numFmtId="0" fontId="31" fillId="0" borderId="0" xfId="0" applyNumberFormat="1" applyFont="1" applyProtection="1"/>
    <xf numFmtId="0" fontId="31" fillId="0" borderId="0" xfId="0" applyFont="1" applyAlignment="1" applyProtection="1">
      <alignment horizontal="left"/>
    </xf>
    <xf numFmtId="0" fontId="31" fillId="0" borderId="0" xfId="0" applyNumberFormat="1" applyFont="1" applyAlignment="1" applyProtection="1">
      <alignment horizontal="right"/>
    </xf>
    <xf numFmtId="0" fontId="31" fillId="0" borderId="0" xfId="0" applyFont="1" applyAlignment="1" applyProtection="1">
      <alignment horizontal="right"/>
    </xf>
    <xf numFmtId="0" fontId="16" fillId="0" borderId="0" xfId="0" applyNumberFormat="1" applyFont="1" applyAlignment="1" applyProtection="1">
      <alignment vertical="center"/>
    </xf>
    <xf numFmtId="0" fontId="14" fillId="0" borderId="0" xfId="0" applyNumberFormat="1" applyFont="1" applyProtection="1"/>
    <xf numFmtId="0" fontId="38" fillId="0" borderId="36" xfId="0" applyFont="1" applyFill="1" applyBorder="1" applyAlignment="1" applyProtection="1">
      <protection locked="0"/>
    </xf>
    <xf numFmtId="0" fontId="38" fillId="0" borderId="2" xfId="0" applyFont="1" applyFill="1" applyBorder="1" applyAlignment="1" applyProtection="1">
      <protection locked="0"/>
    </xf>
    <xf numFmtId="0" fontId="30" fillId="0" borderId="51" xfId="0" applyFont="1" applyFill="1" applyBorder="1" applyAlignment="1" applyProtection="1">
      <protection locked="0"/>
    </xf>
    <xf numFmtId="0" fontId="30" fillId="0" borderId="7" xfId="0" applyFont="1" applyFill="1" applyBorder="1" applyAlignment="1" applyProtection="1">
      <protection locked="0"/>
    </xf>
    <xf numFmtId="0" fontId="38" fillId="3" borderId="41" xfId="0" applyFont="1" applyFill="1" applyBorder="1" applyAlignment="1" applyProtection="1">
      <alignment horizontal="left"/>
      <protection locked="0"/>
    </xf>
    <xf numFmtId="0" fontId="38" fillId="3" borderId="43" xfId="0" applyFont="1" applyFill="1" applyBorder="1" applyAlignment="1" applyProtection="1">
      <alignment horizontal="left"/>
      <protection locked="0"/>
    </xf>
    <xf numFmtId="0" fontId="30" fillId="3" borderId="13" xfId="0" applyFont="1" applyFill="1" applyBorder="1" applyAlignment="1" applyProtection="1">
      <alignment horizontal="center"/>
    </xf>
    <xf numFmtId="0" fontId="30" fillId="3" borderId="14" xfId="0" applyFont="1" applyFill="1" applyBorder="1" applyAlignment="1" applyProtection="1">
      <alignment horizontal="center"/>
    </xf>
    <xf numFmtId="0" fontId="40" fillId="12" borderId="9" xfId="0" applyFont="1" applyFill="1" applyBorder="1" applyAlignment="1" applyProtection="1">
      <alignment horizontal="center" vertical="top" wrapText="1"/>
    </xf>
    <xf numFmtId="0" fontId="40" fillId="12" borderId="10" xfId="0" applyFont="1" applyFill="1" applyBorder="1" applyAlignment="1" applyProtection="1">
      <alignment horizontal="center" vertical="top" wrapText="1"/>
    </xf>
    <xf numFmtId="0" fontId="40" fillId="12" borderId="11" xfId="0" applyFont="1" applyFill="1" applyBorder="1" applyAlignment="1" applyProtection="1">
      <alignment horizontal="center" vertical="top" wrapText="1"/>
    </xf>
    <xf numFmtId="0" fontId="40" fillId="12" borderId="15" xfId="0" applyFont="1" applyFill="1" applyBorder="1" applyAlignment="1" applyProtection="1">
      <alignment horizontal="center" vertical="top" wrapText="1"/>
    </xf>
    <xf numFmtId="0" fontId="40" fillId="12" borderId="0" xfId="0" applyFont="1" applyFill="1" applyBorder="1" applyAlignment="1" applyProtection="1">
      <alignment horizontal="center" vertical="top" wrapText="1"/>
    </xf>
    <xf numFmtId="0" fontId="40" fillId="12" borderId="16" xfId="0" applyFont="1" applyFill="1" applyBorder="1" applyAlignment="1" applyProtection="1">
      <alignment horizontal="center" vertical="top" wrapText="1"/>
    </xf>
    <xf numFmtId="0" fontId="40" fillId="12" borderId="13" xfId="0" applyFont="1" applyFill="1" applyBorder="1" applyAlignment="1" applyProtection="1">
      <alignment horizontal="center" vertical="top" wrapText="1"/>
    </xf>
    <xf numFmtId="0" fontId="40" fillId="12" borderId="14" xfId="0" applyFont="1" applyFill="1" applyBorder="1" applyAlignment="1" applyProtection="1">
      <alignment horizontal="center" vertical="top" wrapText="1"/>
    </xf>
    <xf numFmtId="167" fontId="30" fillId="5" borderId="22" xfId="0" applyNumberFormat="1" applyFont="1" applyFill="1" applyBorder="1" applyAlignment="1" applyProtection="1">
      <alignment horizontal="center"/>
      <protection locked="0"/>
    </xf>
    <xf numFmtId="167" fontId="30" fillId="5" borderId="23" xfId="0" applyNumberFormat="1" applyFont="1" applyFill="1" applyBorder="1" applyAlignment="1" applyProtection="1">
      <alignment horizontal="center"/>
      <protection locked="0"/>
    </xf>
    <xf numFmtId="0" fontId="30" fillId="5" borderId="22" xfId="0" applyFont="1" applyFill="1" applyBorder="1" applyAlignment="1" applyProtection="1">
      <alignment horizontal="center"/>
      <protection locked="0"/>
    </xf>
    <xf numFmtId="0" fontId="30" fillId="5" borderId="23" xfId="0" applyFont="1" applyFill="1" applyBorder="1" applyAlignment="1" applyProtection="1">
      <alignment horizontal="center"/>
      <protection locked="0"/>
    </xf>
    <xf numFmtId="0" fontId="30" fillId="5" borderId="20" xfId="0" applyFont="1" applyFill="1" applyBorder="1" applyAlignment="1" applyProtection="1">
      <alignment horizontal="center"/>
      <protection locked="0"/>
    </xf>
    <xf numFmtId="167" fontId="30" fillId="5" borderId="20" xfId="0" applyNumberFormat="1" applyFont="1" applyFill="1" applyBorder="1" applyAlignment="1" applyProtection="1">
      <alignment horizontal="center"/>
      <protection locked="0"/>
    </xf>
    <xf numFmtId="0" fontId="30" fillId="0" borderId="70" xfId="0" applyFont="1" applyBorder="1" applyAlignment="1" applyProtection="1">
      <alignment horizontal="left"/>
    </xf>
    <xf numFmtId="0" fontId="30" fillId="0" borderId="46" xfId="0" applyFont="1" applyBorder="1" applyAlignment="1" applyProtection="1">
      <alignment horizontal="left"/>
    </xf>
    <xf numFmtId="0" fontId="38" fillId="3" borderId="51" xfId="0" applyFont="1" applyFill="1" applyBorder="1" applyAlignment="1" applyProtection="1">
      <alignment horizontal="left"/>
      <protection locked="0"/>
    </xf>
    <xf numFmtId="0" fontId="38" fillId="3" borderId="7" xfId="0" applyFont="1" applyFill="1" applyBorder="1" applyAlignment="1" applyProtection="1">
      <alignment horizontal="left"/>
      <protection locked="0"/>
    </xf>
    <xf numFmtId="0" fontId="45" fillId="4" borderId="22" xfId="0" applyFont="1" applyFill="1" applyBorder="1" applyAlignment="1" applyProtection="1">
      <alignment horizontal="center"/>
    </xf>
    <xf numFmtId="0" fontId="45" fillId="4" borderId="58" xfId="0" applyFont="1" applyFill="1" applyBorder="1" applyAlignment="1" applyProtection="1">
      <alignment horizontal="center"/>
    </xf>
    <xf numFmtId="0" fontId="30" fillId="0" borderId="0" xfId="0" applyFont="1" applyBorder="1" applyAlignment="1" applyProtection="1">
      <alignment horizontal="right"/>
    </xf>
    <xf numFmtId="0" fontId="30" fillId="0" borderId="16" xfId="0" applyFont="1" applyBorder="1" applyAlignment="1" applyProtection="1">
      <alignment horizontal="right"/>
    </xf>
    <xf numFmtId="164" fontId="30" fillId="7" borderId="22" xfId="0" applyNumberFormat="1" applyFont="1" applyFill="1" applyBorder="1" applyAlignment="1" applyProtection="1">
      <alignment horizontal="right"/>
    </xf>
    <xf numFmtId="164" fontId="30" fillId="7" borderId="20" xfId="0" applyNumberFormat="1" applyFont="1" applyFill="1" applyBorder="1" applyAlignment="1" applyProtection="1">
      <alignment horizontal="right"/>
    </xf>
    <xf numFmtId="0" fontId="38" fillId="0" borderId="36" xfId="0" applyFont="1" applyFill="1" applyBorder="1" applyAlignment="1" applyProtection="1">
      <alignment horizontal="left"/>
      <protection locked="0"/>
    </xf>
    <xf numFmtId="0" fontId="38" fillId="0" borderId="2" xfId="0" applyFont="1" applyFill="1" applyBorder="1" applyAlignment="1" applyProtection="1">
      <alignment horizontal="left"/>
      <protection locked="0"/>
    </xf>
    <xf numFmtId="198" fontId="30" fillId="0" borderId="22" xfId="0" applyNumberFormat="1" applyFont="1" applyBorder="1" applyAlignment="1" applyProtection="1">
      <alignment horizontal="center"/>
    </xf>
    <xf numFmtId="198" fontId="30" fillId="0" borderId="20" xfId="0" applyNumberFormat="1" applyFont="1" applyBorder="1" applyAlignment="1" applyProtection="1">
      <alignment horizontal="center"/>
    </xf>
    <xf numFmtId="198" fontId="30" fillId="0" borderId="22" xfId="0" applyNumberFormat="1" applyFont="1" applyFill="1" applyBorder="1" applyAlignment="1" applyProtection="1">
      <alignment horizontal="center"/>
    </xf>
    <xf numFmtId="198" fontId="30" fillId="0" borderId="20" xfId="0" applyNumberFormat="1" applyFont="1" applyFill="1" applyBorder="1" applyAlignment="1" applyProtection="1">
      <alignment horizontal="center"/>
    </xf>
    <xf numFmtId="167" fontId="30" fillId="4" borderId="4" xfId="0" applyNumberFormat="1" applyFont="1" applyFill="1" applyBorder="1" applyAlignment="1" applyProtection="1">
      <alignment horizontal="center"/>
    </xf>
    <xf numFmtId="164" fontId="30" fillId="7" borderId="4" xfId="0" applyNumberFormat="1" applyFont="1" applyFill="1" applyBorder="1" applyAlignment="1" applyProtection="1">
      <alignment horizontal="right"/>
    </xf>
    <xf numFmtId="0" fontId="30" fillId="4" borderId="23" xfId="0" applyFont="1" applyFill="1" applyBorder="1" applyAlignment="1" applyProtection="1">
      <alignment horizontal="center"/>
    </xf>
    <xf numFmtId="0" fontId="30" fillId="4" borderId="20" xfId="0" applyFont="1" applyFill="1" applyBorder="1" applyAlignment="1" applyProtection="1">
      <alignment horizontal="center"/>
    </xf>
    <xf numFmtId="14" fontId="43" fillId="5" borderId="4" xfId="0" applyNumberFormat="1" applyFont="1" applyFill="1" applyBorder="1" applyAlignment="1" applyProtection="1">
      <alignment horizontal="center"/>
      <protection locked="0"/>
    </xf>
    <xf numFmtId="164" fontId="44" fillId="5" borderId="4" xfId="0" applyNumberFormat="1" applyFont="1" applyFill="1" applyBorder="1" applyAlignment="1" applyProtection="1">
      <alignment horizontal="center"/>
      <protection locked="0"/>
    </xf>
    <xf numFmtId="0" fontId="38" fillId="12" borderId="22" xfId="0" applyFont="1" applyFill="1" applyBorder="1" applyAlignment="1" applyProtection="1">
      <alignment horizontal="center"/>
    </xf>
    <xf numFmtId="0" fontId="38" fillId="12" borderId="23" xfId="0" applyFont="1" applyFill="1" applyBorder="1" applyAlignment="1" applyProtection="1">
      <alignment horizontal="center"/>
    </xf>
    <xf numFmtId="0" fontId="38" fillId="12" borderId="20" xfId="0" applyFont="1" applyFill="1" applyBorder="1" applyAlignment="1" applyProtection="1">
      <alignment horizontal="center"/>
    </xf>
    <xf numFmtId="0" fontId="47" fillId="4" borderId="4" xfId="0" applyFont="1" applyFill="1" applyBorder="1" applyAlignment="1" applyProtection="1">
      <alignment horizontal="center"/>
    </xf>
    <xf numFmtId="0" fontId="46" fillId="4" borderId="58" xfId="0" applyFont="1" applyFill="1" applyBorder="1" applyAlignment="1" applyProtection="1">
      <alignment horizontal="center"/>
    </xf>
    <xf numFmtId="0" fontId="46" fillId="4" borderId="8" xfId="0" applyFont="1" applyFill="1" applyBorder="1" applyAlignment="1" applyProtection="1">
      <alignment horizontal="center"/>
    </xf>
    <xf numFmtId="0" fontId="38" fillId="0" borderId="27" xfId="0" applyFont="1" applyFill="1" applyBorder="1" applyAlignment="1" applyProtection="1">
      <protection locked="0"/>
    </xf>
    <xf numFmtId="0" fontId="38" fillId="0" borderId="25" xfId="0" applyFont="1" applyFill="1" applyBorder="1" applyAlignment="1" applyProtection="1">
      <protection locked="0"/>
    </xf>
    <xf numFmtId="0" fontId="38" fillId="0" borderId="27" xfId="0" applyFont="1" applyBorder="1" applyAlignment="1" applyProtection="1">
      <alignment horizontal="center"/>
    </xf>
    <xf numFmtId="0" fontId="38" fillId="0" borderId="25" xfId="0" applyFont="1" applyBorder="1" applyAlignment="1" applyProtection="1">
      <alignment horizontal="center"/>
    </xf>
    <xf numFmtId="0" fontId="38" fillId="0" borderId="41" xfId="0" applyFont="1" applyBorder="1" applyAlignment="1" applyProtection="1">
      <alignment horizontal="center"/>
    </xf>
    <xf numFmtId="0" fontId="38" fillId="0" borderId="43" xfId="0" applyFont="1" applyBorder="1" applyAlignment="1" applyProtection="1">
      <alignment horizontal="center"/>
    </xf>
    <xf numFmtId="0" fontId="30" fillId="4" borderId="22" xfId="0" applyFont="1" applyFill="1" applyBorder="1" applyAlignment="1" applyProtection="1">
      <alignment horizontal="center"/>
    </xf>
    <xf numFmtId="184" fontId="30" fillId="4" borderId="22" xfId="0" applyNumberFormat="1" applyFont="1" applyFill="1" applyBorder="1" applyAlignment="1" applyProtection="1">
      <alignment horizontal="center"/>
    </xf>
    <xf numFmtId="184" fontId="30" fillId="4" borderId="20" xfId="0" applyNumberFormat="1" applyFont="1" applyFill="1" applyBorder="1" applyAlignment="1" applyProtection="1">
      <alignment horizontal="center"/>
    </xf>
    <xf numFmtId="0" fontId="38" fillId="0" borderId="27" xfId="0" applyFont="1" applyBorder="1" applyAlignment="1" applyProtection="1">
      <alignment horizontal="left"/>
    </xf>
    <xf numFmtId="0" fontId="38" fillId="0" borderId="25" xfId="0" applyFont="1" applyBorder="1" applyAlignment="1" applyProtection="1">
      <alignment horizontal="left"/>
    </xf>
    <xf numFmtId="0" fontId="38" fillId="0" borderId="29" xfId="0" applyFont="1" applyBorder="1" applyAlignment="1" applyProtection="1">
      <alignment horizontal="left"/>
    </xf>
    <xf numFmtId="0" fontId="38" fillId="0" borderId="19" xfId="0" applyFont="1" applyBorder="1" applyAlignment="1" applyProtection="1">
      <alignment horizontal="left"/>
    </xf>
    <xf numFmtId="0" fontId="5" fillId="4" borderId="22" xfId="0" applyFont="1" applyFill="1" applyBorder="1" applyAlignment="1" applyProtection="1">
      <alignment horizontal="left"/>
    </xf>
    <xf numFmtId="0" fontId="5" fillId="4" borderId="23" xfId="0" applyFont="1" applyFill="1" applyBorder="1" applyAlignment="1" applyProtection="1">
      <alignment horizontal="left"/>
    </xf>
    <xf numFmtId="0" fontId="5" fillId="4" borderId="20" xfId="0" applyFont="1" applyFill="1" applyBorder="1" applyAlignment="1" applyProtection="1">
      <alignment horizontal="left"/>
    </xf>
    <xf numFmtId="0" fontId="15" fillId="3" borderId="0" xfId="0" applyFont="1" applyFill="1" applyBorder="1" applyAlignment="1" applyProtection="1">
      <alignment horizontal="center" vertical="top" wrapText="1"/>
    </xf>
    <xf numFmtId="0" fontId="5" fillId="7" borderId="22" xfId="0" applyFont="1" applyFill="1" applyBorder="1" applyAlignment="1" applyProtection="1">
      <alignment horizontal="center"/>
    </xf>
    <xf numFmtId="0" fontId="5" fillId="7" borderId="20" xfId="0" applyFont="1" applyFill="1" applyBorder="1" applyAlignment="1" applyProtection="1">
      <alignment horizontal="center"/>
    </xf>
    <xf numFmtId="0" fontId="5" fillId="7" borderId="22" xfId="0" applyNumberFormat="1" applyFont="1" applyFill="1" applyBorder="1" applyAlignment="1" applyProtection="1">
      <alignment horizontal="center"/>
    </xf>
    <xf numFmtId="0" fontId="5" fillId="7" borderId="20" xfId="0" applyNumberFormat="1" applyFont="1" applyFill="1" applyBorder="1" applyAlignment="1" applyProtection="1">
      <alignment horizontal="center"/>
    </xf>
    <xf numFmtId="0" fontId="15" fillId="7" borderId="22" xfId="1" applyFont="1" applyFill="1" applyBorder="1" applyAlignment="1" applyProtection="1">
      <alignment horizontal="center"/>
    </xf>
    <xf numFmtId="0" fontId="15" fillId="7" borderId="20" xfId="1" applyFont="1" applyFill="1" applyBorder="1" applyAlignment="1" applyProtection="1">
      <alignment horizontal="center"/>
    </xf>
    <xf numFmtId="0" fontId="5" fillId="5" borderId="22" xfId="0" applyFont="1" applyFill="1" applyBorder="1" applyAlignment="1" applyProtection="1">
      <alignment horizontal="center"/>
    </xf>
    <xf numFmtId="0" fontId="5" fillId="5" borderId="20" xfId="0" applyFont="1" applyFill="1" applyBorder="1" applyAlignment="1" applyProtection="1">
      <alignment horizontal="center"/>
    </xf>
    <xf numFmtId="0" fontId="9" fillId="3" borderId="22" xfId="0" applyFont="1" applyFill="1" applyBorder="1" applyAlignment="1" applyProtection="1">
      <alignment horizontal="center"/>
    </xf>
    <xf numFmtId="0" fontId="9" fillId="3" borderId="23" xfId="0" applyFont="1" applyFill="1" applyBorder="1" applyAlignment="1" applyProtection="1">
      <alignment horizontal="center"/>
    </xf>
    <xf numFmtId="0" fontId="9" fillId="3" borderId="20" xfId="0" applyFont="1" applyFill="1" applyBorder="1" applyAlignment="1" applyProtection="1">
      <alignment horizontal="center"/>
    </xf>
    <xf numFmtId="0" fontId="5" fillId="4" borderId="41" xfId="0" applyFont="1" applyFill="1" applyBorder="1" applyAlignment="1" applyProtection="1">
      <alignment horizontal="left"/>
    </xf>
    <xf numFmtId="0" fontId="5" fillId="4" borderId="43" xfId="0" applyFont="1" applyFill="1" applyBorder="1" applyAlignment="1" applyProtection="1">
      <alignment horizontal="left"/>
    </xf>
    <xf numFmtId="0" fontId="5" fillId="6" borderId="22" xfId="0" applyFont="1" applyFill="1" applyBorder="1" applyAlignment="1" applyProtection="1">
      <alignment horizontal="center"/>
    </xf>
    <xf numFmtId="0" fontId="5" fillId="6" borderId="20" xfId="0" applyFont="1" applyFill="1" applyBorder="1" applyAlignment="1" applyProtection="1">
      <alignment horizontal="center"/>
    </xf>
    <xf numFmtId="0" fontId="5" fillId="4" borderId="34" xfId="0" applyFont="1" applyFill="1" applyBorder="1" applyAlignment="1" applyProtection="1">
      <alignment horizontal="left"/>
    </xf>
    <xf numFmtId="0" fontId="5" fillId="4" borderId="5" xfId="0" applyFont="1" applyFill="1" applyBorder="1" applyAlignment="1" applyProtection="1">
      <alignment horizontal="left"/>
    </xf>
    <xf numFmtId="0" fontId="5" fillId="4" borderId="17" xfId="0" applyFont="1" applyFill="1" applyBorder="1" applyAlignment="1" applyProtection="1">
      <alignment horizontal="left"/>
      <protection locked="0"/>
    </xf>
    <xf numFmtId="0" fontId="5" fillId="4" borderId="6" xfId="0" applyFont="1" applyFill="1" applyBorder="1" applyAlignment="1" applyProtection="1">
      <alignment horizontal="left"/>
      <protection locked="0"/>
    </xf>
    <xf numFmtId="0" fontId="5" fillId="4" borderId="27" xfId="0" applyFont="1" applyFill="1" applyBorder="1" applyAlignment="1" applyProtection="1">
      <alignment horizontal="center"/>
    </xf>
    <xf numFmtId="0" fontId="5" fillId="4" borderId="25" xfId="0" applyFont="1" applyFill="1" applyBorder="1" applyAlignment="1" applyProtection="1">
      <alignment horizontal="center"/>
    </xf>
    <xf numFmtId="0" fontId="5" fillId="4" borderId="26"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1" xfId="0" applyFont="1" applyFill="1" applyBorder="1" applyAlignment="1" applyProtection="1">
      <alignment horizontal="center"/>
    </xf>
    <xf numFmtId="0" fontId="5" fillId="4" borderId="18" xfId="0" applyFont="1" applyFill="1" applyBorder="1" applyAlignment="1" applyProtection="1">
      <alignment horizontal="center"/>
    </xf>
    <xf numFmtId="0" fontId="0" fillId="4" borderId="17" xfId="0" applyFont="1" applyFill="1" applyBorder="1" applyAlignment="1" applyProtection="1">
      <alignment horizontal="center"/>
    </xf>
    <xf numFmtId="0" fontId="0" fillId="4" borderId="1" xfId="0" applyFont="1" applyFill="1" applyBorder="1" applyAlignment="1" applyProtection="1">
      <alignment horizontal="center"/>
    </xf>
    <xf numFmtId="0" fontId="0" fillId="4" borderId="18" xfId="0" applyFont="1" applyFill="1" applyBorder="1" applyAlignment="1" applyProtection="1">
      <alignment horizontal="center"/>
    </xf>
    <xf numFmtId="0" fontId="5" fillId="4" borderId="29" xfId="0" applyFont="1" applyFill="1" applyBorder="1" applyAlignment="1" applyProtection="1">
      <alignment horizontal="center"/>
    </xf>
    <xf numFmtId="0" fontId="5" fillId="4" borderId="19" xfId="0" applyFont="1" applyFill="1" applyBorder="1" applyAlignment="1" applyProtection="1">
      <alignment horizontal="center"/>
    </xf>
    <xf numFmtId="0" fontId="5" fillId="4" borderId="44" xfId="0" applyFont="1" applyFill="1" applyBorder="1" applyAlignment="1" applyProtection="1">
      <alignment horizontal="center"/>
    </xf>
    <xf numFmtId="0" fontId="5" fillId="4" borderId="17" xfId="0" applyFont="1" applyFill="1" applyBorder="1" applyAlignment="1" applyProtection="1">
      <alignment horizontal="left"/>
    </xf>
    <xf numFmtId="0" fontId="5" fillId="4" borderId="6" xfId="0" applyFont="1" applyFill="1" applyBorder="1" applyAlignment="1" applyProtection="1">
      <alignment horizontal="left"/>
    </xf>
    <xf numFmtId="0" fontId="5" fillId="4" borderId="27" xfId="0" applyFont="1" applyFill="1" applyBorder="1" applyAlignment="1" applyProtection="1">
      <alignment horizontal="left"/>
      <protection locked="0"/>
    </xf>
    <xf numFmtId="0" fontId="5" fillId="4" borderId="25" xfId="0" applyFont="1" applyFill="1" applyBorder="1" applyAlignment="1" applyProtection="1">
      <alignment horizontal="left"/>
      <protection locked="0"/>
    </xf>
    <xf numFmtId="0" fontId="12" fillId="4" borderId="47" xfId="0" applyFont="1" applyFill="1" applyBorder="1" applyAlignment="1" applyProtection="1">
      <alignment horizontal="center"/>
    </xf>
    <xf numFmtId="0" fontId="12" fillId="4" borderId="48" xfId="0" applyFont="1" applyFill="1" applyBorder="1" applyAlignment="1" applyProtection="1">
      <alignment horizontal="center"/>
    </xf>
    <xf numFmtId="0" fontId="12" fillId="4" borderId="49" xfId="0" applyFont="1" applyFill="1" applyBorder="1" applyAlignment="1" applyProtection="1">
      <alignment horizontal="center"/>
    </xf>
    <xf numFmtId="0" fontId="5" fillId="4" borderId="22" xfId="0" applyFont="1" applyFill="1" applyBorder="1" applyAlignment="1" applyProtection="1">
      <alignment horizontal="center"/>
    </xf>
    <xf numFmtId="0" fontId="5" fillId="4" borderId="20" xfId="0" applyFont="1" applyFill="1" applyBorder="1" applyAlignment="1" applyProtection="1">
      <alignment horizontal="center"/>
    </xf>
    <xf numFmtId="0" fontId="13" fillId="6" borderId="22" xfId="0" applyFont="1" applyFill="1" applyBorder="1" applyAlignment="1" applyProtection="1">
      <alignment horizontal="center"/>
    </xf>
    <xf numFmtId="0" fontId="12" fillId="6" borderId="23" xfId="0" applyFont="1" applyFill="1" applyBorder="1" applyAlignment="1" applyProtection="1">
      <alignment horizontal="center"/>
    </xf>
    <xf numFmtId="0" fontId="12" fillId="6" borderId="20" xfId="0" applyFont="1" applyFill="1" applyBorder="1" applyAlignment="1" applyProtection="1">
      <alignment horizontal="center"/>
    </xf>
    <xf numFmtId="170" fontId="5" fillId="7" borderId="22" xfId="0" applyNumberFormat="1" applyFont="1" applyFill="1" applyBorder="1" applyAlignment="1" applyProtection="1">
      <alignment horizontal="center"/>
    </xf>
    <xf numFmtId="170" fontId="5" fillId="7" borderId="23" xfId="0" applyNumberFormat="1" applyFont="1" applyFill="1" applyBorder="1" applyAlignment="1" applyProtection="1">
      <alignment horizontal="center"/>
    </xf>
    <xf numFmtId="170" fontId="5" fillId="7" borderId="20" xfId="0" applyNumberFormat="1" applyFont="1" applyFill="1" applyBorder="1" applyAlignment="1" applyProtection="1">
      <alignment horizontal="center"/>
    </xf>
    <xf numFmtId="0" fontId="13" fillId="6" borderId="23" xfId="0" applyFont="1" applyFill="1" applyBorder="1" applyAlignment="1" applyProtection="1">
      <alignment horizontal="center"/>
    </xf>
    <xf numFmtId="0" fontId="13" fillId="6" borderId="13" xfId="0" applyFont="1" applyFill="1" applyBorder="1" applyAlignment="1" applyProtection="1">
      <alignment horizontal="center"/>
    </xf>
    <xf numFmtId="0" fontId="13" fillId="6" borderId="14" xfId="0" applyFont="1" applyFill="1" applyBorder="1" applyAlignment="1" applyProtection="1">
      <alignment horizontal="center"/>
    </xf>
    <xf numFmtId="0" fontId="5" fillId="4" borderId="51" xfId="0" applyFont="1" applyFill="1" applyBorder="1" applyAlignment="1" applyProtection="1">
      <alignment horizontal="center"/>
    </xf>
    <xf numFmtId="0" fontId="5" fillId="4" borderId="53" xfId="0" applyFont="1" applyFill="1" applyBorder="1" applyAlignment="1" applyProtection="1">
      <alignment horizontal="center"/>
    </xf>
    <xf numFmtId="0" fontId="15" fillId="3" borderId="0" xfId="0" applyFont="1" applyFill="1" applyBorder="1" applyAlignment="1" applyProtection="1">
      <alignment horizontal="left"/>
    </xf>
    <xf numFmtId="0" fontId="5" fillId="3" borderId="0" xfId="0" applyFont="1" applyFill="1" applyBorder="1" applyAlignment="1" applyProtection="1">
      <alignment horizontal="left"/>
    </xf>
    <xf numFmtId="0" fontId="5" fillId="5" borderId="22"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15" fillId="3" borderId="13"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3" fillId="6" borderId="22" xfId="1" applyFont="1" applyFill="1" applyBorder="1" applyAlignment="1" applyProtection="1">
      <alignment horizontal="center"/>
    </xf>
    <xf numFmtId="0" fontId="3" fillId="6" borderId="20" xfId="1" applyFont="1" applyFill="1" applyBorder="1" applyAlignment="1" applyProtection="1">
      <alignment horizontal="center"/>
    </xf>
    <xf numFmtId="0" fontId="5" fillId="4" borderId="51" xfId="0" applyFont="1" applyFill="1" applyBorder="1" applyAlignment="1" applyProtection="1">
      <alignment horizontal="left"/>
    </xf>
    <xf numFmtId="0" fontId="5" fillId="4" borderId="7" xfId="0" applyFont="1" applyFill="1" applyBorder="1" applyAlignment="1" applyProtection="1">
      <alignment horizontal="left"/>
    </xf>
    <xf numFmtId="0" fontId="24" fillId="4" borderId="22" xfId="0" applyFont="1" applyFill="1" applyBorder="1" applyAlignment="1" applyProtection="1">
      <alignment horizontal="center"/>
    </xf>
    <xf numFmtId="0" fontId="24" fillId="4" borderId="23" xfId="0" applyFont="1" applyFill="1" applyBorder="1" applyAlignment="1" applyProtection="1">
      <alignment horizontal="center"/>
    </xf>
    <xf numFmtId="0" fontId="24" fillId="4" borderId="20" xfId="0" applyFont="1" applyFill="1" applyBorder="1" applyAlignment="1" applyProtection="1">
      <alignment horizontal="center"/>
    </xf>
    <xf numFmtId="0" fontId="5" fillId="6" borderId="34" xfId="0" applyFont="1" applyFill="1" applyBorder="1" applyAlignment="1" applyProtection="1">
      <alignment horizontal="center"/>
    </xf>
    <xf numFmtId="0" fontId="5" fillId="6" borderId="5" xfId="0" applyFont="1" applyFill="1" applyBorder="1" applyAlignment="1" applyProtection="1">
      <alignment horizontal="center"/>
    </xf>
    <xf numFmtId="0" fontId="5" fillId="4" borderId="6" xfId="0" applyFont="1" applyFill="1" applyBorder="1" applyAlignment="1" applyProtection="1">
      <alignment horizontal="center"/>
    </xf>
    <xf numFmtId="0" fontId="5" fillId="6" borderId="9" xfId="0" applyFont="1" applyFill="1" applyBorder="1" applyAlignment="1" applyProtection="1">
      <alignment horizontal="center"/>
    </xf>
    <xf numFmtId="0" fontId="5" fillId="6" borderId="11" xfId="0" applyFont="1" applyFill="1" applyBorder="1" applyAlignment="1" applyProtection="1">
      <alignment horizontal="center"/>
    </xf>
    <xf numFmtId="0" fontId="9" fillId="7" borderId="1" xfId="0" applyFont="1" applyFill="1" applyBorder="1" applyAlignment="1" applyProtection="1">
      <alignment horizontal="center"/>
    </xf>
    <xf numFmtId="0" fontId="9" fillId="7" borderId="3" xfId="0" applyFont="1" applyFill="1" applyBorder="1" applyAlignment="1" applyProtection="1">
      <alignment horizontal="center"/>
    </xf>
    <xf numFmtId="0" fontId="3" fillId="4" borderId="1" xfId="1" applyFont="1" applyFill="1" applyBorder="1" applyAlignment="1" applyProtection="1">
      <alignment horizontal="center"/>
    </xf>
    <xf numFmtId="0" fontId="12" fillId="4" borderId="34" xfId="0" applyFont="1" applyFill="1" applyBorder="1" applyAlignment="1" applyProtection="1">
      <alignment horizontal="center"/>
    </xf>
    <xf numFmtId="0" fontId="12" fillId="4" borderId="5" xfId="0" applyFont="1" applyFill="1" applyBorder="1" applyAlignment="1" applyProtection="1">
      <alignment horizontal="center"/>
    </xf>
    <xf numFmtId="0" fontId="5" fillId="4" borderId="29" xfId="0" applyFont="1" applyFill="1" applyBorder="1" applyAlignment="1" applyProtection="1">
      <alignment horizontal="left"/>
    </xf>
    <xf numFmtId="0" fontId="5" fillId="4" borderId="19" xfId="0" applyFont="1" applyFill="1" applyBorder="1" applyAlignment="1" applyProtection="1">
      <alignment horizontal="left"/>
    </xf>
    <xf numFmtId="0" fontId="26" fillId="13" borderId="17" xfId="0" applyFont="1" applyFill="1" applyBorder="1" applyAlignment="1" applyProtection="1">
      <alignment horizontal="center"/>
    </xf>
    <xf numFmtId="0" fontId="26" fillId="13" borderId="1" xfId="0" applyFont="1" applyFill="1" applyBorder="1" applyAlignment="1" applyProtection="1">
      <alignment horizontal="center"/>
    </xf>
    <xf numFmtId="0" fontId="26" fillId="13" borderId="29" xfId="0" applyFont="1" applyFill="1" applyBorder="1" applyAlignment="1" applyProtection="1">
      <alignment horizontal="center"/>
    </xf>
    <xf numFmtId="0" fontId="26" fillId="13" borderId="19" xfId="0" applyFont="1" applyFill="1" applyBorder="1" applyAlignment="1" applyProtection="1">
      <alignment horizontal="center"/>
    </xf>
    <xf numFmtId="0" fontId="3" fillId="6" borderId="23" xfId="1" applyFont="1" applyFill="1" applyBorder="1" applyAlignment="1" applyProtection="1">
      <alignment horizontal="center"/>
    </xf>
    <xf numFmtId="0" fontId="5" fillId="4" borderId="23" xfId="0" applyFont="1" applyFill="1" applyBorder="1" applyAlignment="1" applyProtection="1">
      <alignment horizontal="center"/>
    </xf>
    <xf numFmtId="164" fontId="8" fillId="5" borderId="6" xfId="0" applyNumberFormat="1" applyFont="1" applyFill="1" applyBorder="1" applyAlignment="1" applyProtection="1">
      <alignment horizontal="center"/>
      <protection locked="0"/>
    </xf>
    <xf numFmtId="164" fontId="8" fillId="5" borderId="24" xfId="0" applyNumberFormat="1" applyFont="1" applyFill="1" applyBorder="1" applyAlignment="1" applyProtection="1">
      <alignment horizontal="center"/>
      <protection locked="0"/>
    </xf>
    <xf numFmtId="167" fontId="5" fillId="4" borderId="30" xfId="0" applyNumberFormat="1" applyFont="1" applyFill="1" applyBorder="1" applyAlignment="1" applyProtection="1">
      <alignment horizontal="center"/>
    </xf>
    <xf numFmtId="167" fontId="5" fillId="4" borderId="31" xfId="0" applyNumberFormat="1" applyFont="1" applyFill="1" applyBorder="1" applyAlignment="1" applyProtection="1">
      <alignment horizontal="center"/>
    </xf>
    <xf numFmtId="14" fontId="7" fillId="5" borderId="28" xfId="0" applyNumberFormat="1" applyFont="1" applyFill="1" applyBorder="1" applyAlignment="1" applyProtection="1">
      <alignment horizontal="center"/>
      <protection locked="0"/>
    </xf>
    <xf numFmtId="14" fontId="7" fillId="5" borderId="32" xfId="0" applyNumberFormat="1" applyFont="1" applyFill="1" applyBorder="1" applyAlignment="1" applyProtection="1">
      <alignment horizontal="center"/>
      <protection locked="0"/>
    </xf>
    <xf numFmtId="0" fontId="5" fillId="7" borderId="22" xfId="0" applyFont="1" applyFill="1" applyBorder="1" applyAlignment="1" applyProtection="1">
      <alignment horizontal="right"/>
    </xf>
    <xf numFmtId="0" fontId="5" fillId="7" borderId="20" xfId="0" applyFont="1" applyFill="1" applyBorder="1" applyAlignment="1" applyProtection="1">
      <alignment horizontal="right"/>
    </xf>
    <xf numFmtId="0" fontId="51" fillId="0" borderId="0" xfId="0" applyNumberFormat="1" applyFont="1" applyAlignment="1" applyProtection="1">
      <alignment horizontal="center" vertical="center" wrapText="1"/>
    </xf>
    <xf numFmtId="1" fontId="5" fillId="7" borderId="22" xfId="0" applyNumberFormat="1" applyFont="1" applyFill="1" applyBorder="1" applyAlignment="1" applyProtection="1">
      <alignment horizontal="right"/>
    </xf>
    <xf numFmtId="1" fontId="5" fillId="7" borderId="20" xfId="0" applyNumberFormat="1" applyFont="1" applyFill="1" applyBorder="1" applyAlignment="1" applyProtection="1">
      <alignment horizontal="right"/>
    </xf>
    <xf numFmtId="167" fontId="5" fillId="5" borderId="22" xfId="0" applyNumberFormat="1" applyFont="1" applyFill="1" applyBorder="1" applyAlignment="1" applyProtection="1">
      <alignment horizontal="center"/>
      <protection locked="0"/>
    </xf>
    <xf numFmtId="167" fontId="5" fillId="5" borderId="20" xfId="0" applyNumberFormat="1" applyFont="1" applyFill="1" applyBorder="1" applyAlignment="1" applyProtection="1">
      <alignment horizontal="center"/>
      <protection locked="0"/>
    </xf>
    <xf numFmtId="0" fontId="8" fillId="13" borderId="27" xfId="0" applyFont="1" applyFill="1" applyBorder="1" applyAlignment="1" applyProtection="1">
      <alignment horizontal="center"/>
    </xf>
    <xf numFmtId="0" fontId="8" fillId="13" borderId="25" xfId="0" applyFont="1" applyFill="1" applyBorder="1" applyAlignment="1" applyProtection="1">
      <alignment horizontal="center"/>
    </xf>
    <xf numFmtId="0" fontId="8" fillId="13" borderId="26" xfId="0" applyFont="1" applyFill="1" applyBorder="1" applyAlignment="1" applyProtection="1">
      <alignment horizontal="center"/>
    </xf>
    <xf numFmtId="0" fontId="5" fillId="5" borderId="23" xfId="0" applyFont="1" applyFill="1" applyBorder="1" applyAlignment="1" applyProtection="1">
      <alignment horizontal="center"/>
      <protection locked="0"/>
    </xf>
    <xf numFmtId="167" fontId="5" fillId="5" borderId="23" xfId="0" applyNumberFormat="1" applyFont="1" applyFill="1" applyBorder="1" applyAlignment="1" applyProtection="1">
      <alignment horizontal="center"/>
      <protection locked="0"/>
    </xf>
    <xf numFmtId="0" fontId="5" fillId="5" borderId="22" xfId="0" applyNumberFormat="1" applyFont="1" applyFill="1" applyBorder="1" applyAlignment="1" applyProtection="1">
      <alignment horizontal="center"/>
      <protection locked="0"/>
    </xf>
    <xf numFmtId="0" fontId="5" fillId="5" borderId="20" xfId="0" applyNumberFormat="1" applyFont="1" applyFill="1" applyBorder="1" applyAlignment="1" applyProtection="1">
      <alignment horizontal="center"/>
      <protection locked="0"/>
    </xf>
    <xf numFmtId="0" fontId="5" fillId="3" borderId="9" xfId="0" applyFont="1" applyFill="1" applyBorder="1" applyAlignment="1" applyProtection="1">
      <alignment horizontal="left"/>
    </xf>
    <xf numFmtId="0" fontId="5" fillId="3" borderId="10" xfId="0" applyFont="1" applyFill="1" applyBorder="1" applyAlignment="1" applyProtection="1">
      <alignment horizontal="left"/>
    </xf>
    <xf numFmtId="164" fontId="5" fillId="3" borderId="10" xfId="0" applyNumberFormat="1" applyFont="1" applyFill="1" applyBorder="1" applyAlignment="1" applyProtection="1">
      <alignment horizontal="right"/>
    </xf>
    <xf numFmtId="164" fontId="5" fillId="3" borderId="11" xfId="0" applyNumberFormat="1" applyFont="1" applyFill="1" applyBorder="1" applyAlignment="1" applyProtection="1">
      <alignment horizontal="right"/>
    </xf>
    <xf numFmtId="14" fontId="7" fillId="5" borderId="28" xfId="0" applyNumberFormat="1" applyFont="1" applyFill="1" applyBorder="1" applyAlignment="1" applyProtection="1">
      <alignment horizontal="center"/>
    </xf>
    <xf numFmtId="14" fontId="7" fillId="5" borderId="32" xfId="0" applyNumberFormat="1" applyFont="1" applyFill="1" applyBorder="1" applyAlignment="1" applyProtection="1">
      <alignment horizontal="center"/>
    </xf>
    <xf numFmtId="164" fontId="8" fillId="5" borderId="6" xfId="0" applyNumberFormat="1" applyFont="1" applyFill="1" applyBorder="1" applyAlignment="1" applyProtection="1">
      <alignment horizontal="center"/>
    </xf>
    <xf numFmtId="164" fontId="8" fillId="5" borderId="24" xfId="0" applyNumberFormat="1" applyFont="1" applyFill="1" applyBorder="1" applyAlignment="1" applyProtection="1">
      <alignment horizontal="center"/>
    </xf>
    <xf numFmtId="0" fontId="9" fillId="0" borderId="12" xfId="0" applyFont="1" applyBorder="1" applyAlignment="1" applyProtection="1">
      <alignment horizontal="center"/>
    </xf>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13" fillId="6" borderId="20" xfId="0" applyFont="1" applyFill="1" applyBorder="1" applyAlignment="1" applyProtection="1">
      <alignment horizontal="center"/>
    </xf>
    <xf numFmtId="0" fontId="34" fillId="0" borderId="0" xfId="0" applyFont="1" applyAlignment="1">
      <alignment horizontal="left"/>
    </xf>
    <xf numFmtId="0" fontId="35" fillId="0" borderId="19" xfId="0" applyNumberFormat="1" applyFont="1" applyFill="1" applyBorder="1" applyAlignment="1" applyProtection="1">
      <alignment horizontal="center"/>
    </xf>
    <xf numFmtId="0" fontId="0" fillId="0" borderId="3" xfId="0" applyFont="1" applyBorder="1" applyAlignment="1">
      <alignment horizontal="center"/>
    </xf>
    <xf numFmtId="0" fontId="0" fillId="0" borderId="35" xfId="0" applyFont="1" applyBorder="1" applyAlignment="1">
      <alignment horizontal="center"/>
    </xf>
    <xf numFmtId="0" fontId="0" fillId="0" borderId="2" xfId="0" applyFont="1" applyBorder="1" applyAlignment="1">
      <alignment horizontal="center"/>
    </xf>
    <xf numFmtId="0" fontId="32" fillId="0" borderId="62" xfId="0" applyFont="1" applyBorder="1" applyAlignment="1">
      <alignment horizontal="center"/>
    </xf>
    <xf numFmtId="0" fontId="32" fillId="0" borderId="63" xfId="0" applyFont="1" applyBorder="1" applyAlignment="1">
      <alignment horizontal="center"/>
    </xf>
    <xf numFmtId="0" fontId="32" fillId="0" borderId="46" xfId="0" applyFont="1" applyBorder="1" applyAlignment="1">
      <alignment horizontal="center"/>
    </xf>
    <xf numFmtId="0" fontId="0" fillId="0" borderId="1" xfId="0" applyFont="1" applyBorder="1" applyAlignment="1" applyProtection="1">
      <alignment horizontal="center"/>
    </xf>
    <xf numFmtId="0" fontId="38" fillId="0" borderId="33" xfId="0" applyFont="1" applyBorder="1" applyAlignment="1" applyProtection="1">
      <alignment horizontal="center"/>
    </xf>
    <xf numFmtId="0" fontId="38" fillId="0" borderId="47" xfId="0" applyFont="1" applyBorder="1" applyAlignment="1" applyProtection="1">
      <alignment horizontal="center"/>
    </xf>
    <xf numFmtId="0" fontId="38" fillId="0" borderId="3" xfId="0" applyFont="1" applyBorder="1" applyAlignment="1" applyProtection="1">
      <alignment horizontal="center"/>
    </xf>
    <xf numFmtId="0" fontId="38" fillId="0" borderId="48" xfId="0" applyFont="1" applyBorder="1" applyAlignment="1" applyProtection="1">
      <alignment horizontal="center"/>
    </xf>
    <xf numFmtId="0" fontId="38" fillId="0" borderId="6" xfId="0" applyFont="1" applyBorder="1" applyAlignment="1" applyProtection="1">
      <alignment horizontal="center"/>
    </xf>
    <xf numFmtId="0" fontId="38" fillId="0" borderId="53" xfId="0" applyFont="1" applyBorder="1" applyAlignment="1" applyProtection="1">
      <alignment horizontal="center"/>
    </xf>
    <xf numFmtId="0" fontId="38" fillId="0" borderId="24" xfId="0" applyFont="1" applyBorder="1" applyAlignment="1" applyProtection="1">
      <alignment horizontal="center"/>
    </xf>
    <xf numFmtId="0" fontId="0" fillId="0" borderId="1" xfId="0" applyBorder="1" applyAlignment="1">
      <alignment horizontal="center" vertical="center"/>
    </xf>
    <xf numFmtId="0" fontId="0" fillId="0" borderId="2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14" borderId="22" xfId="0" applyFont="1" applyFill="1" applyBorder="1" applyAlignment="1" applyProtection="1">
      <alignment horizontal="center" vertical="center"/>
    </xf>
    <xf numFmtId="0" fontId="0" fillId="14" borderId="20" xfId="0" applyFont="1" applyFill="1" applyBorder="1" applyAlignment="1" applyProtection="1">
      <alignment horizontal="center" vertical="center"/>
    </xf>
    <xf numFmtId="0" fontId="0" fillId="0" borderId="23" xfId="0" applyFont="1" applyBorder="1" applyAlignment="1" applyProtection="1">
      <alignment horizontal="center" vertical="center"/>
    </xf>
    <xf numFmtId="0" fontId="0" fillId="14" borderId="23" xfId="0" applyFont="1" applyFill="1" applyBorder="1" applyAlignment="1" applyProtection="1">
      <alignment horizontal="center" vertical="center"/>
    </xf>
    <xf numFmtId="0" fontId="38" fillId="0" borderId="28" xfId="0" applyFont="1" applyBorder="1" applyAlignment="1" applyProtection="1">
      <alignment horizontal="center"/>
    </xf>
    <xf numFmtId="0" fontId="38" fillId="0" borderId="65" xfId="0" applyFont="1" applyBorder="1" applyAlignment="1" applyProtection="1">
      <alignment horizontal="center"/>
    </xf>
    <xf numFmtId="0" fontId="38" fillId="0" borderId="32" xfId="0" applyFont="1" applyBorder="1" applyAlignment="1" applyProtection="1">
      <alignment horizontal="center"/>
    </xf>
    <xf numFmtId="0" fontId="0" fillId="0" borderId="22" xfId="0" applyFont="1" applyBorder="1" applyAlignment="1" applyProtection="1">
      <alignment horizontal="center"/>
    </xf>
    <xf numFmtId="0" fontId="0" fillId="0" borderId="23" xfId="0" applyFont="1" applyBorder="1" applyAlignment="1" applyProtection="1">
      <alignment horizontal="center"/>
    </xf>
    <xf numFmtId="0" fontId="0" fillId="0" borderId="20" xfId="0" applyFont="1" applyBorder="1" applyAlignment="1" applyProtection="1">
      <alignment horizontal="center"/>
    </xf>
    <xf numFmtId="0" fontId="38" fillId="0" borderId="64" xfId="0" applyFont="1" applyBorder="1" applyAlignment="1" applyProtection="1">
      <alignment horizontal="center"/>
    </xf>
    <xf numFmtId="0" fontId="38" fillId="0" borderId="42" xfId="0" applyFont="1" applyBorder="1" applyAlignment="1" applyProtection="1">
      <alignment horizontal="center"/>
    </xf>
    <xf numFmtId="0" fontId="18" fillId="0" borderId="0" xfId="0" applyFont="1" applyBorder="1" applyAlignment="1" applyProtection="1">
      <alignment horizontal="center"/>
    </xf>
    <xf numFmtId="0" fontId="0" fillId="4" borderId="3" xfId="0" applyFill="1" applyBorder="1" applyAlignment="1" applyProtection="1">
      <alignment horizontal="left"/>
    </xf>
    <xf numFmtId="0" fontId="17" fillId="4" borderId="1" xfId="0" applyFont="1" applyFill="1" applyBorder="1" applyAlignment="1" applyProtection="1">
      <alignment horizontal="center"/>
    </xf>
    <xf numFmtId="0" fontId="14" fillId="4" borderId="17" xfId="0" applyFont="1" applyFill="1" applyBorder="1" applyAlignment="1" applyProtection="1">
      <alignment horizontal="center"/>
    </xf>
    <xf numFmtId="0" fontId="14" fillId="4" borderId="18" xfId="0" applyFont="1" applyFill="1" applyBorder="1" applyAlignment="1" applyProtection="1">
      <alignment horizontal="center"/>
    </xf>
    <xf numFmtId="176" fontId="14" fillId="9" borderId="60" xfId="0" applyNumberFormat="1" applyFont="1" applyFill="1" applyBorder="1" applyAlignment="1" applyProtection="1">
      <alignment horizontal="center"/>
    </xf>
    <xf numFmtId="176" fontId="14" fillId="9" borderId="61" xfId="0" applyNumberFormat="1" applyFont="1" applyFill="1" applyBorder="1" applyAlignment="1" applyProtection="1">
      <alignment horizontal="center"/>
    </xf>
    <xf numFmtId="0" fontId="17" fillId="4" borderId="22" xfId="0" applyFont="1" applyFill="1" applyBorder="1" applyAlignment="1" applyProtection="1">
      <alignment horizontal="center"/>
    </xf>
    <xf numFmtId="0" fontId="17" fillId="4" borderId="23" xfId="0" applyFont="1" applyFill="1" applyBorder="1" applyAlignment="1" applyProtection="1">
      <alignment horizontal="center"/>
    </xf>
    <xf numFmtId="0" fontId="17" fillId="4" borderId="20" xfId="0" applyFont="1" applyFill="1" applyBorder="1" applyAlignment="1" applyProtection="1">
      <alignment horizontal="center"/>
    </xf>
    <xf numFmtId="0" fontId="0" fillId="4" borderId="6" xfId="0" applyFill="1" applyBorder="1" applyAlignment="1" applyProtection="1">
      <alignment horizontal="left"/>
    </xf>
    <xf numFmtId="0" fontId="0" fillId="4" borderId="7" xfId="0" applyFill="1" applyBorder="1" applyAlignment="1" applyProtection="1">
      <alignment horizontal="left"/>
    </xf>
    <xf numFmtId="0" fontId="14" fillId="0" borderId="1" xfId="0" applyFont="1" applyBorder="1" applyAlignment="1">
      <alignment horizontal="center"/>
    </xf>
    <xf numFmtId="191" fontId="14" fillId="7" borderId="60" xfId="0" applyNumberFormat="1" applyFont="1" applyFill="1" applyBorder="1" applyAlignment="1">
      <alignment horizontal="center"/>
    </xf>
    <xf numFmtId="191" fontId="14" fillId="7" borderId="62" xfId="0" applyNumberFormat="1" applyFont="1" applyFill="1" applyBorder="1" applyAlignment="1">
      <alignment horizontal="center"/>
    </xf>
    <xf numFmtId="0" fontId="14" fillId="16" borderId="27" xfId="0" applyFont="1" applyFill="1" applyBorder="1" applyAlignment="1">
      <alignment horizontal="center"/>
    </xf>
    <xf numFmtId="0" fontId="14" fillId="16" borderId="25" xfId="0" applyFont="1" applyFill="1" applyBorder="1" applyAlignment="1">
      <alignment horizontal="center"/>
    </xf>
    <xf numFmtId="0" fontId="14" fillId="16" borderId="26" xfId="0" applyFont="1" applyFill="1" applyBorder="1" applyAlignment="1">
      <alignment horizontal="center"/>
    </xf>
    <xf numFmtId="195" fontId="14" fillId="7" borderId="6" xfId="0" applyNumberFormat="1" applyFont="1" applyFill="1" applyBorder="1" applyAlignment="1">
      <alignment horizontal="right"/>
    </xf>
    <xf numFmtId="195" fontId="14" fillId="7" borderId="24" xfId="0" applyNumberFormat="1" applyFont="1" applyFill="1" applyBorder="1" applyAlignment="1">
      <alignment horizontal="right"/>
    </xf>
    <xf numFmtId="0" fontId="14" fillId="16" borderId="64" xfId="0" applyFont="1" applyFill="1" applyBorder="1" applyAlignment="1">
      <alignment horizontal="center"/>
    </xf>
    <xf numFmtId="0" fontId="14" fillId="16" borderId="65" xfId="0" applyFont="1" applyFill="1" applyBorder="1" applyAlignment="1">
      <alignment horizontal="center"/>
    </xf>
    <xf numFmtId="0" fontId="14" fillId="16" borderId="32" xfId="0" applyFont="1" applyFill="1" applyBorder="1" applyAlignment="1">
      <alignment horizontal="center"/>
    </xf>
  </cellXfs>
  <cellStyles count="2">
    <cellStyle name="Hyperlink" xfId="1" builtinId="8"/>
    <cellStyle name="Normal" xfId="0" builtinId="0"/>
  </cellStyles>
  <dxfs count="166">
    <dxf>
      <font>
        <strike val="0"/>
        <outline val="0"/>
        <shadow val="0"/>
        <u val="none"/>
        <vertAlign val="baseline"/>
        <sz val="11"/>
        <color auto="1"/>
        <name val="Calibri"/>
        <scheme val="minor"/>
      </font>
      <numFmt numFmtId="0" formatCode="General"/>
      <fill>
        <patternFill patternType="solid">
          <fgColor indexed="64"/>
          <bgColor theme="3" tint="0.59999389629810485"/>
        </patternFill>
      </fill>
    </dxf>
    <dxf>
      <font>
        <strike val="0"/>
        <outline val="0"/>
        <shadow val="0"/>
        <u val="none"/>
        <vertAlign val="baseline"/>
        <sz val="11"/>
        <color auto="1"/>
        <name val="Calibri"/>
        <scheme val="minor"/>
      </font>
      <numFmt numFmtId="0" formatCode="General"/>
      <fill>
        <patternFill patternType="solid">
          <fgColor indexed="64"/>
          <bgColor theme="3" tint="0.59999389629810485"/>
        </patternFill>
      </fill>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numFmt numFmtId="0" formatCode="General"/>
      <fill>
        <patternFill patternType="solid">
          <fgColor indexed="64"/>
          <bgColor theme="3" tint="0.59999389629810485"/>
        </patternFill>
      </fill>
      <border diagonalUp="0" diagonalDown="0" outline="0">
        <left style="thin">
          <color auto="1"/>
        </left>
      </border>
    </dxf>
    <dxf>
      <font>
        <strike val="0"/>
        <outline val="0"/>
        <shadow val="0"/>
        <u val="none"/>
        <vertAlign val="baseline"/>
        <sz val="11"/>
        <color auto="1"/>
        <name val="Calibri"/>
        <scheme val="minor"/>
      </font>
      <fill>
        <patternFill patternType="solid">
          <fgColor indexed="64"/>
          <bgColor theme="3" tint="0.59999389629810485"/>
        </patternFill>
      </fill>
      <border diagonalUp="0" diagonalDown="0" outline="0">
        <left style="thin">
          <color auto="1"/>
        </left>
        <right style="thin">
          <color auto="1"/>
        </right>
        <top/>
        <bottom/>
      </border>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strike val="0"/>
        <outline val="0"/>
        <shadow val="0"/>
        <u val="none"/>
        <vertAlign val="baseline"/>
        <sz val="11"/>
        <color theme="0"/>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auto="1"/>
        <name val="Calibri"/>
        <scheme val="minor"/>
      </font>
      <protection locked="1" hidden="0"/>
    </dxf>
    <dxf>
      <font>
        <strike val="0"/>
        <outline val="0"/>
        <shadow val="0"/>
        <u val="none"/>
        <vertAlign val="baseline"/>
        <sz val="11"/>
        <color auto="1"/>
        <name val="Calibri"/>
        <scheme val="minor"/>
      </font>
      <protection locked="1" hidden="0"/>
    </dxf>
    <dxf>
      <font>
        <strike val="0"/>
        <outline val="0"/>
        <shadow val="0"/>
        <u val="none"/>
        <vertAlign val="baseline"/>
        <sz val="11"/>
        <color auto="1"/>
        <name val="Calibri"/>
        <scheme val="minor"/>
      </font>
      <protection locked="1" hidden="0"/>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b val="0"/>
        <i val="0"/>
        <strike val="0"/>
        <condense val="0"/>
        <extend val="0"/>
        <outline val="0"/>
        <shadow val="0"/>
        <u val="none"/>
        <vertAlign val="baseline"/>
        <sz val="11"/>
        <color theme="0"/>
        <name val="Calibri"/>
        <scheme val="none"/>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
      <font>
        <strike val="0"/>
        <outline val="0"/>
        <shadow val="0"/>
        <u val="none"/>
        <vertAlign val="baseline"/>
        <sz val="11"/>
        <color theme="0"/>
        <name val="Calibri"/>
      </font>
      <protection locked="1" hidden="0"/>
    </dxf>
  </dxfs>
  <tableStyles count="0" defaultTableStyle="TableStyleMedium9" defaultPivotStyle="PivotStyleLight16"/>
  <colors>
    <mruColors>
      <color rgb="FFFEFE72"/>
      <color rgb="FFE8E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6" dropStyle="combo" dx="16" fmlaLink="C11" fmlaRange="$O$3:$O$13" noThreeD="1" sel="1" val="0"/>
</file>

<file path=xl/ctrlProps/ctrlProp2.xml><?xml version="1.0" encoding="utf-8"?>
<formControlPr xmlns="http://schemas.microsoft.com/office/spreadsheetml/2009/9/main" objectType="Drop" dropStyle="combo" dx="16" fmlaLink="$F$10" fmlaRange="$N$39:$N$40" noThreeD="1" sel="1" val="0"/>
</file>

<file path=xl/ctrlProps/ctrlProp3.xml><?xml version="1.0" encoding="utf-8"?>
<formControlPr xmlns="http://schemas.microsoft.com/office/spreadsheetml/2009/9/main" objectType="Drop" dropStyle="combo" dx="16" fmlaLink="J11" fmlaRange="$O$60:$O$67" noThreeD="1" sel="1" val="0"/>
</file>

<file path=xl/ctrlProps/ctrlProp4.xml><?xml version="1.0" encoding="utf-8"?>
<formControlPr xmlns="http://schemas.microsoft.com/office/spreadsheetml/2009/9/main" objectType="Drop" dropStyle="combo" dx="16" fmlaLink="D22" fmlaRange="$M$39:$M$41" noThreeD="1" sel="1" val="0"/>
</file>

<file path=xl/ctrlProps/ctrlProp5.xml><?xml version="1.0" encoding="utf-8"?>
<formControlPr xmlns="http://schemas.microsoft.com/office/spreadsheetml/2009/9/main" objectType="Drop" dropStyle="combo" dx="16" fmlaLink="D25" fmlaRange="$P$42:$P$44" noThreeD="1" sel="1" val="0"/>
</file>

<file path=xl/ctrlProps/ctrlProp6.xml><?xml version="1.0" encoding="utf-8"?>
<formControlPr xmlns="http://schemas.microsoft.com/office/spreadsheetml/2009/9/main" objectType="Drop" dropStyle="combo" dx="16" fmlaLink="D23" fmlaRange="$P$48:$P$50" noThreeD="1" sel="1" val="0"/>
</file>

<file path=xl/ctrlProps/ctrlProp7.xml><?xml version="1.0" encoding="utf-8"?>
<formControlPr xmlns="http://schemas.microsoft.com/office/spreadsheetml/2009/9/main" objectType="Drop" dropStyle="combo" dx="16" fmlaLink="D26" fmlaRange="$Q$48:$Q$50" noThreeD="1" sel="1" val="0"/>
</file>

<file path=xl/ctrlProps/ctrlProp8.xml><?xml version="1.0" encoding="utf-8"?>
<formControlPr xmlns="http://schemas.microsoft.com/office/spreadsheetml/2009/9/main" objectType="Drop" dropStyle="combo" dx="16" fmlaLink="F20" fmlaRange="$K$34:$K$36" noThreeD="1" sel="1" val="0"/>
</file>

<file path=xl/ctrlProps/ctrlProp9.xml><?xml version="1.0" encoding="utf-8"?>
<formControlPr xmlns="http://schemas.microsoft.com/office/spreadsheetml/2009/9/main" objectType="Drop" dropStyle="combo" dx="16" fmlaLink="K15" fmlaRange="$R$69:$R$73" noThreeD="1" sel="1" val="0"/>
</file>

<file path=xl/ctrlProps/ctrlProp10.xml><?xml version="1.0" encoding="utf-8"?>
<formControlPr xmlns="http://schemas.microsoft.com/office/spreadsheetml/2009/9/main" objectType="Radio" firstButton="1" fmlaLink="D18"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Drop" dropLines="16" dropStyle="combo" dx="16" fmlaLink="C11" fmlaRange="$O$3:$O$13" noThreeD="1" sel="1" val="0"/>
</file>

<file path=xl/ctrlProps/ctrlProp13.xml><?xml version="1.0" encoding="utf-8"?>
<formControlPr xmlns="http://schemas.microsoft.com/office/spreadsheetml/2009/9/main" objectType="Drop" dropStyle="combo" dx="16" fmlaLink="$F$10" fmlaRange="$N$39:$N$40" noThreeD="1" sel="2" val="0"/>
</file>

<file path=xl/ctrlProps/ctrlProp14.xml><?xml version="1.0" encoding="utf-8"?>
<formControlPr xmlns="http://schemas.microsoft.com/office/spreadsheetml/2009/9/main" objectType="Drop" dropStyle="combo" dx="16" fmlaLink="J11" fmlaRange="$O$60:$O$67" noThreeD="1" sel="1" val="0"/>
</file>

<file path=xl/ctrlProps/ctrlProp15.xml><?xml version="1.0" encoding="utf-8"?>
<formControlPr xmlns="http://schemas.microsoft.com/office/spreadsheetml/2009/9/main" objectType="Drop" dropStyle="combo" dx="16" fmlaLink="D22" fmlaRange="$M$39:$M$41" noThreeD="1" sel="1" val="0"/>
</file>

<file path=xl/ctrlProps/ctrlProp16.xml><?xml version="1.0" encoding="utf-8"?>
<formControlPr xmlns="http://schemas.microsoft.com/office/spreadsheetml/2009/9/main" objectType="Drop" dropStyle="combo" dx="16" fmlaLink="D25" fmlaRange="$P$42:$P$44" noThreeD="1" sel="1" val="0"/>
</file>

<file path=xl/ctrlProps/ctrlProp17.xml><?xml version="1.0" encoding="utf-8"?>
<formControlPr xmlns="http://schemas.microsoft.com/office/spreadsheetml/2009/9/main" objectType="Drop" dropStyle="combo" dx="16" fmlaLink="D23" fmlaRange="$P$48:$P$50" noThreeD="1" sel="1" val="0"/>
</file>

<file path=xl/ctrlProps/ctrlProp18.xml><?xml version="1.0" encoding="utf-8"?>
<formControlPr xmlns="http://schemas.microsoft.com/office/spreadsheetml/2009/9/main" objectType="Drop" dropStyle="combo" dx="16" fmlaLink="D26" fmlaRange="$Q$48:$Q$50" noThreeD="1" sel="1" val="0"/>
</file>

<file path=xl/ctrlProps/ctrlProp19.xml><?xml version="1.0" encoding="utf-8"?>
<formControlPr xmlns="http://schemas.microsoft.com/office/spreadsheetml/2009/9/main" objectType="Drop" dropStyle="combo" dx="16" fmlaLink="F20" fmlaRange="$K$34:$K$36" noThreeD="1" sel="1" val="0"/>
</file>

<file path=xl/ctrlProps/ctrlProp20.xml><?xml version="1.0" encoding="utf-8"?>
<formControlPr xmlns="http://schemas.microsoft.com/office/spreadsheetml/2009/9/main" objectType="Drop" dropStyle="combo" dx="16" fmlaLink="K15" fmlaRange="$R$69:$R$73" noThreeD="1" sel="1" val="0"/>
</file>

<file path=xl/ctrlProps/ctrlProp21.xml><?xml version="1.0" encoding="utf-8"?>
<formControlPr xmlns="http://schemas.microsoft.com/office/spreadsheetml/2009/9/main" objectType="Drop" dropStyle="combo" dx="16" fmlaLink="F20" fmlaRange="$K$34:$K$36" noThreeD="1" sel="1" val="0"/>
</file>

<file path=xl/ctrlProps/ctrlProp22.xml><?xml version="1.0" encoding="utf-8"?>
<formControlPr xmlns="http://schemas.microsoft.com/office/spreadsheetml/2009/9/main" objectType="Drop" dropStyle="combo" dx="16" fmlaLink="D22" fmlaRange="$M$39:$M$41" noThreeD="1" sel="1" val="0"/>
</file>

<file path=xl/ctrlProps/ctrlProp23.xml><?xml version="1.0" encoding="utf-8"?>
<formControlPr xmlns="http://schemas.microsoft.com/office/spreadsheetml/2009/9/main" objectType="Drop" dropStyle="combo" dx="16" fmlaLink="D22" fmlaRange="$M$39:$M$41" noThreeD="1" sel="1" val="0"/>
</file>

<file path=xl/ctrlProps/ctrlProp24.xml><?xml version="1.0" encoding="utf-8"?>
<formControlPr xmlns="http://schemas.microsoft.com/office/spreadsheetml/2009/9/main" objectType="Radio" firstButton="1" fmlaLink="D18"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Drop" dropLines="16" dropStyle="combo" dx="16" fmlaLink="C11" fmlaRange="$O$3:$O$13" noThreeD="1" sel="1" val="0"/>
</file>

<file path=xl/ctrlProps/ctrlProp27.xml><?xml version="1.0" encoding="utf-8"?>
<formControlPr xmlns="http://schemas.microsoft.com/office/spreadsheetml/2009/9/main" objectType="Drop" dropStyle="combo" dx="16" fmlaLink="$F$10" fmlaRange="$N$39:$N$40" noThreeD="1" sel="2" val="0"/>
</file>

<file path=xl/ctrlProps/ctrlProp28.xml><?xml version="1.0" encoding="utf-8"?>
<formControlPr xmlns="http://schemas.microsoft.com/office/spreadsheetml/2009/9/main" objectType="Drop" dropStyle="combo" dx="16" fmlaLink="J11" fmlaRange="$O$60:$O$67" noThreeD="1" sel="1" val="0"/>
</file>

<file path=xl/ctrlProps/ctrlProp29.xml><?xml version="1.0" encoding="utf-8"?>
<formControlPr xmlns="http://schemas.microsoft.com/office/spreadsheetml/2009/9/main" objectType="Drop" dropStyle="combo" dx="16" fmlaLink="D22" fmlaRange="$M$39:$M$41" noThreeD="1" sel="1" val="0"/>
</file>

<file path=xl/ctrlProps/ctrlProp30.xml><?xml version="1.0" encoding="utf-8"?>
<formControlPr xmlns="http://schemas.microsoft.com/office/spreadsheetml/2009/9/main" objectType="Drop" dropStyle="combo" dx="16" fmlaLink="D25" fmlaRange="$P$42:$P$44" noThreeD="1" sel="1" val="0"/>
</file>

<file path=xl/ctrlProps/ctrlProp31.xml><?xml version="1.0" encoding="utf-8"?>
<formControlPr xmlns="http://schemas.microsoft.com/office/spreadsheetml/2009/9/main" objectType="Drop" dropStyle="combo" dx="16" fmlaLink="D23" fmlaRange="$P$48:$P$50" noThreeD="1" sel="1" val="0"/>
</file>

<file path=xl/ctrlProps/ctrlProp32.xml><?xml version="1.0" encoding="utf-8"?>
<formControlPr xmlns="http://schemas.microsoft.com/office/spreadsheetml/2009/9/main" objectType="Drop" dropStyle="combo" dx="16" fmlaLink="D26" fmlaRange="$Q$48:$Q$50" noThreeD="1" sel="1" val="0"/>
</file>

<file path=xl/ctrlProps/ctrlProp33.xml><?xml version="1.0" encoding="utf-8"?>
<formControlPr xmlns="http://schemas.microsoft.com/office/spreadsheetml/2009/9/main" objectType="Drop" dropStyle="combo" dx="16" fmlaLink="F20" fmlaRange="$K$34:$K$36" noThreeD="1" sel="1" val="0"/>
</file>

<file path=xl/ctrlProps/ctrlProp34.xml><?xml version="1.0" encoding="utf-8"?>
<formControlPr xmlns="http://schemas.microsoft.com/office/spreadsheetml/2009/9/main" objectType="Drop" dropStyle="combo" dx="16" fmlaLink="K15" fmlaRange="$R$69:$R$73" noThreeD="1" sel="1" val="0"/>
</file>

<file path=xl/ctrlProps/ctrlProp35.xml><?xml version="1.0" encoding="utf-8"?>
<formControlPr xmlns="http://schemas.microsoft.com/office/spreadsheetml/2009/9/main" objectType="Drop" dropStyle="combo" dx="16" fmlaLink="D22" fmlaRange="$M$39:$M$41" noThreeD="1" sel="1" val="0"/>
</file>

<file path=xl/ctrlProps/ctrlProp36.xml><?xml version="1.0" encoding="utf-8"?>
<formControlPr xmlns="http://schemas.microsoft.com/office/spreadsheetml/2009/9/main" objectType="Radio" firstButton="1" fmlaLink="D18"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Drop" dropLines="16" dropStyle="combo" dx="16" fmlaLink="C11" fmlaRange="$O$3:$O$13" noThreeD="1" sel="1" val="0"/>
</file>

<file path=xl/ctrlProps/ctrlProp39.xml><?xml version="1.0" encoding="utf-8"?>
<formControlPr xmlns="http://schemas.microsoft.com/office/spreadsheetml/2009/9/main" objectType="Drop" dropStyle="combo" dx="16" fmlaLink="$F$10" fmlaRange="$N$39:$N$40" noThreeD="1" sel="2" val="0"/>
</file>

<file path=xl/ctrlProps/ctrlProp40.xml><?xml version="1.0" encoding="utf-8"?>
<formControlPr xmlns="http://schemas.microsoft.com/office/spreadsheetml/2009/9/main" objectType="Drop" dropStyle="combo" dx="16" fmlaLink="J11" fmlaRange="$O$60:$O$67" noThreeD="1" sel="1" val="0"/>
</file>

<file path=xl/ctrlProps/ctrlProp41.xml><?xml version="1.0" encoding="utf-8"?>
<formControlPr xmlns="http://schemas.microsoft.com/office/spreadsheetml/2009/9/main" objectType="Drop" dropStyle="combo" dx="16" fmlaLink="D22" fmlaRange="$M$39:$M$41" noThreeD="1" sel="1" val="0"/>
</file>

<file path=xl/ctrlProps/ctrlProp42.xml><?xml version="1.0" encoding="utf-8"?>
<formControlPr xmlns="http://schemas.microsoft.com/office/spreadsheetml/2009/9/main" objectType="Drop" dropStyle="combo" dx="16" fmlaLink="D25" fmlaRange="$P$42:$P$44" noThreeD="1" sel="1" val="0"/>
</file>

<file path=xl/ctrlProps/ctrlProp43.xml><?xml version="1.0" encoding="utf-8"?>
<formControlPr xmlns="http://schemas.microsoft.com/office/spreadsheetml/2009/9/main" objectType="Drop" dropStyle="combo" dx="16" fmlaLink="D23" fmlaRange="$P$48:$P$50" noThreeD="1" sel="1" val="0"/>
</file>

<file path=xl/ctrlProps/ctrlProp44.xml><?xml version="1.0" encoding="utf-8"?>
<formControlPr xmlns="http://schemas.microsoft.com/office/spreadsheetml/2009/9/main" objectType="Drop" dropStyle="combo" dx="16" fmlaLink="D26" fmlaRange="$Q$48:$Q$50" noThreeD="1" sel="1" val="0"/>
</file>

<file path=xl/ctrlProps/ctrlProp45.xml><?xml version="1.0" encoding="utf-8"?>
<formControlPr xmlns="http://schemas.microsoft.com/office/spreadsheetml/2009/9/main" objectType="Drop" dropStyle="combo" dx="16" fmlaLink="F20" fmlaRange="$K$34:$K$36" noThreeD="1" sel="1" val="0"/>
</file>

<file path=xl/ctrlProps/ctrlProp46.xml><?xml version="1.0" encoding="utf-8"?>
<formControlPr xmlns="http://schemas.microsoft.com/office/spreadsheetml/2009/9/main" objectType="Drop" dropStyle="combo" dx="16" fmlaLink="K15" fmlaRange="$R$69:$R$73" noThreeD="1" sel="1" val="0"/>
</file>

<file path=xl/ctrlProps/ctrlProp47.xml><?xml version="1.0" encoding="utf-8"?>
<formControlPr xmlns="http://schemas.microsoft.com/office/spreadsheetml/2009/9/main" objectType="Drop" dropStyle="combo" dx="16" fmlaLink="D22" fmlaRange="$M$39:$M$41" noThreeD="1" sel="1" val="0"/>
</file>

<file path=xl/ctrlProps/ctrlProp48.xml><?xml version="1.0" encoding="utf-8"?>
<formControlPr xmlns="http://schemas.microsoft.com/office/spreadsheetml/2009/9/main" objectType="Radio" firstButton="1" fmlaLink="D18"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Drop" dropLines="16" dropStyle="combo" dx="16" fmlaLink="C11" fmlaRange="$O$3:$O$13" noThreeD="1" sel="1" val="0"/>
</file>

<file path=xl/ctrlProps/ctrlProp51.xml><?xml version="1.0" encoding="utf-8"?>
<formControlPr xmlns="http://schemas.microsoft.com/office/spreadsheetml/2009/9/main" objectType="Drop" dropStyle="combo" dx="16" fmlaLink="$F$10" fmlaRange="$N$39:$N$40" noThreeD="1" sel="2" val="0"/>
</file>

<file path=xl/ctrlProps/ctrlProp52.xml><?xml version="1.0" encoding="utf-8"?>
<formControlPr xmlns="http://schemas.microsoft.com/office/spreadsheetml/2009/9/main" objectType="Drop" dropStyle="combo" dx="16" fmlaLink="J11" fmlaRange="$O$60:$O$67" noThreeD="1" sel="1" val="0"/>
</file>

<file path=xl/ctrlProps/ctrlProp53.xml><?xml version="1.0" encoding="utf-8"?>
<formControlPr xmlns="http://schemas.microsoft.com/office/spreadsheetml/2009/9/main" objectType="Drop" dropStyle="combo" dx="16" fmlaLink="D22" fmlaRange="$M$39:$M$41" noThreeD="1" sel="1" val="0"/>
</file>

<file path=xl/ctrlProps/ctrlProp54.xml><?xml version="1.0" encoding="utf-8"?>
<formControlPr xmlns="http://schemas.microsoft.com/office/spreadsheetml/2009/9/main" objectType="Drop" dropStyle="combo" dx="16" fmlaLink="D25" fmlaRange="$P$42:$P$44" noThreeD="1" sel="1" val="0"/>
</file>

<file path=xl/ctrlProps/ctrlProp55.xml><?xml version="1.0" encoding="utf-8"?>
<formControlPr xmlns="http://schemas.microsoft.com/office/spreadsheetml/2009/9/main" objectType="Drop" dropStyle="combo" dx="16" fmlaLink="D23" fmlaRange="$P$48:$P$50" noThreeD="1" sel="1" val="0"/>
</file>

<file path=xl/ctrlProps/ctrlProp56.xml><?xml version="1.0" encoding="utf-8"?>
<formControlPr xmlns="http://schemas.microsoft.com/office/spreadsheetml/2009/9/main" objectType="Drop" dropStyle="combo" dx="16" fmlaLink="D26" fmlaRange="$Q$48:$Q$50" noThreeD="1" sel="1" val="0"/>
</file>

<file path=xl/ctrlProps/ctrlProp57.xml><?xml version="1.0" encoding="utf-8"?>
<formControlPr xmlns="http://schemas.microsoft.com/office/spreadsheetml/2009/9/main" objectType="Drop" dropStyle="combo" dx="16" fmlaLink="F20" fmlaRange="$K$34:$K$36" noThreeD="1" sel="1" val="0"/>
</file>

<file path=xl/ctrlProps/ctrlProp58.xml><?xml version="1.0" encoding="utf-8"?>
<formControlPr xmlns="http://schemas.microsoft.com/office/spreadsheetml/2009/9/main" objectType="Drop" dropStyle="combo" dx="16" fmlaLink="K15" fmlaRange="$R$69:$R$73" noThreeD="1" sel="1" val="0"/>
</file>

<file path=xl/ctrlProps/ctrlProp59.xml><?xml version="1.0" encoding="utf-8"?>
<formControlPr xmlns="http://schemas.microsoft.com/office/spreadsheetml/2009/9/main" objectType="Drop" dropStyle="combo" dx="16" fmlaLink="D22" fmlaRange="$M$39:$M$41" noThreeD="1" sel="1" val="0"/>
</file>

<file path=xl/ctrlProps/ctrlProp60.xml><?xml version="1.0" encoding="utf-8"?>
<formControlPr xmlns="http://schemas.microsoft.com/office/spreadsheetml/2009/9/main" objectType="Radio" firstButton="1" fmlaLink="D18"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Drop" dropLines="16" dropStyle="combo" dx="16" fmlaLink="C11" fmlaRange="$O$3:$O$13" noThreeD="1" sel="1" val="0"/>
</file>

<file path=xl/ctrlProps/ctrlProp63.xml><?xml version="1.0" encoding="utf-8"?>
<formControlPr xmlns="http://schemas.microsoft.com/office/spreadsheetml/2009/9/main" objectType="Drop" dropStyle="combo" dx="16" fmlaLink="$F$10" fmlaRange="$N$39:$N$40" noThreeD="1" sel="2" val="0"/>
</file>

<file path=xl/ctrlProps/ctrlProp64.xml><?xml version="1.0" encoding="utf-8"?>
<formControlPr xmlns="http://schemas.microsoft.com/office/spreadsheetml/2009/9/main" objectType="Drop" dropStyle="combo" dx="16" fmlaLink="J11" fmlaRange="$O$60:$O$67" noThreeD="1" sel="1" val="0"/>
</file>

<file path=xl/ctrlProps/ctrlProp65.xml><?xml version="1.0" encoding="utf-8"?>
<formControlPr xmlns="http://schemas.microsoft.com/office/spreadsheetml/2009/9/main" objectType="Drop" dropStyle="combo" dx="16" fmlaLink="D22" fmlaRange="$M$39:$M$41" noThreeD="1" sel="1" val="0"/>
</file>

<file path=xl/ctrlProps/ctrlProp66.xml><?xml version="1.0" encoding="utf-8"?>
<formControlPr xmlns="http://schemas.microsoft.com/office/spreadsheetml/2009/9/main" objectType="Drop" dropStyle="combo" dx="16" fmlaLink="D25" fmlaRange="$P$42:$P$44" noThreeD="1" sel="1" val="0"/>
</file>

<file path=xl/ctrlProps/ctrlProp67.xml><?xml version="1.0" encoding="utf-8"?>
<formControlPr xmlns="http://schemas.microsoft.com/office/spreadsheetml/2009/9/main" objectType="Drop" dropStyle="combo" dx="16" fmlaLink="D23" fmlaRange="$P$48:$P$50" noThreeD="1" sel="1" val="0"/>
</file>

<file path=xl/ctrlProps/ctrlProp68.xml><?xml version="1.0" encoding="utf-8"?>
<formControlPr xmlns="http://schemas.microsoft.com/office/spreadsheetml/2009/9/main" objectType="Drop" dropStyle="combo" dx="16" fmlaLink="D26" fmlaRange="$Q$48:$Q$50" noThreeD="1" sel="1" val="0"/>
</file>

<file path=xl/ctrlProps/ctrlProp69.xml><?xml version="1.0" encoding="utf-8"?>
<formControlPr xmlns="http://schemas.microsoft.com/office/spreadsheetml/2009/9/main" objectType="Drop" dropStyle="combo" dx="16" fmlaLink="F20" fmlaRange="$K$34:$K$36" noThreeD="1" sel="1" val="0"/>
</file>

<file path=xl/ctrlProps/ctrlProp70.xml><?xml version="1.0" encoding="utf-8"?>
<formControlPr xmlns="http://schemas.microsoft.com/office/spreadsheetml/2009/9/main" objectType="Drop" dropStyle="combo" dx="16" fmlaLink="K15" fmlaRange="$R$69:$R$73" noThreeD="1" sel="1" val="0"/>
</file>

<file path=xl/ctrlProps/ctrlProp71.xml><?xml version="1.0" encoding="utf-8"?>
<formControlPr xmlns="http://schemas.microsoft.com/office/spreadsheetml/2009/9/main" objectType="Drop" dropStyle="combo" dx="16" fmlaLink="D22" fmlaRange="$M$39:$M$41" noThreeD="1" sel="1" val="0"/>
</file>

<file path=xl/ctrlProps/ctrlProp72.xml><?xml version="1.0" encoding="utf-8"?>
<formControlPr xmlns="http://schemas.microsoft.com/office/spreadsheetml/2009/9/main" objectType="Radio" firstButton="1" fmlaLink="D18"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Drop" dropLines="16" dropStyle="combo" dx="16" fmlaLink="C11" fmlaRange="$O$3:$O$13" noThreeD="1" sel="1" val="0"/>
</file>

<file path=xl/ctrlProps/ctrlProp75.xml><?xml version="1.0" encoding="utf-8"?>
<formControlPr xmlns="http://schemas.microsoft.com/office/spreadsheetml/2009/9/main" objectType="Drop" dropStyle="combo" dx="16" fmlaLink="$F$10" fmlaRange="$N$39:$N$40" noThreeD="1" sel="2" val="0"/>
</file>

<file path=xl/ctrlProps/ctrlProp76.xml><?xml version="1.0" encoding="utf-8"?>
<formControlPr xmlns="http://schemas.microsoft.com/office/spreadsheetml/2009/9/main" objectType="Drop" dropStyle="combo" dx="16" fmlaLink="J11" fmlaRange="$O$60:$O$67" noThreeD="1" sel="1" val="0"/>
</file>

<file path=xl/ctrlProps/ctrlProp77.xml><?xml version="1.0" encoding="utf-8"?>
<formControlPr xmlns="http://schemas.microsoft.com/office/spreadsheetml/2009/9/main" objectType="Drop" dropStyle="combo" dx="16" fmlaLink="D22" fmlaRange="$M$39:$M$41" noThreeD="1" sel="1" val="0"/>
</file>

<file path=xl/ctrlProps/ctrlProp78.xml><?xml version="1.0" encoding="utf-8"?>
<formControlPr xmlns="http://schemas.microsoft.com/office/spreadsheetml/2009/9/main" objectType="Drop" dropStyle="combo" dx="16" fmlaLink="D25" fmlaRange="$P$42:$P$44" noThreeD="1" sel="1" val="0"/>
</file>

<file path=xl/ctrlProps/ctrlProp79.xml><?xml version="1.0" encoding="utf-8"?>
<formControlPr xmlns="http://schemas.microsoft.com/office/spreadsheetml/2009/9/main" objectType="Drop" dropStyle="combo" dx="16" fmlaLink="D23" fmlaRange="$P$48:$P$50" noThreeD="1" sel="1" val="0"/>
</file>

<file path=xl/ctrlProps/ctrlProp80.xml><?xml version="1.0" encoding="utf-8"?>
<formControlPr xmlns="http://schemas.microsoft.com/office/spreadsheetml/2009/9/main" objectType="Drop" dropStyle="combo" dx="16" fmlaLink="D26" fmlaRange="$Q$48:$Q$50" noThreeD="1" sel="1" val="0"/>
</file>

<file path=xl/ctrlProps/ctrlProp81.xml><?xml version="1.0" encoding="utf-8"?>
<formControlPr xmlns="http://schemas.microsoft.com/office/spreadsheetml/2009/9/main" objectType="Drop" dropStyle="combo" dx="16" fmlaLink="F20" fmlaRange="$K$34:$K$36" noThreeD="1" sel="1" val="0"/>
</file>

<file path=xl/ctrlProps/ctrlProp82.xml><?xml version="1.0" encoding="utf-8"?>
<formControlPr xmlns="http://schemas.microsoft.com/office/spreadsheetml/2009/9/main" objectType="Drop" dropStyle="combo" dx="16" fmlaLink="K15" fmlaRange="$R$69:$R$73" noThreeD="1" sel="1" val="0"/>
</file>

<file path=xl/ctrlProps/ctrlProp83.xml><?xml version="1.0" encoding="utf-8"?>
<formControlPr xmlns="http://schemas.microsoft.com/office/spreadsheetml/2009/9/main" objectType="Drop" dropStyle="combo" dx="16" fmlaLink="D22" fmlaRange="$M$39:$M$41" noThreeD="1" sel="1" val="0"/>
</file>

<file path=xl/ctrlProps/ctrlProp84.xml><?xml version="1.0" encoding="utf-8"?>
<formControlPr xmlns="http://schemas.microsoft.com/office/spreadsheetml/2009/9/main" objectType="Radio" firstButton="1" fmlaLink="D18"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Drop" dropLines="16" dropStyle="combo" dx="16" fmlaLink="C11" fmlaRange="$O$3:$O$13" noThreeD="1" sel="1" val="0"/>
</file>

<file path=xl/ctrlProps/ctrlProp87.xml><?xml version="1.0" encoding="utf-8"?>
<formControlPr xmlns="http://schemas.microsoft.com/office/spreadsheetml/2009/9/main" objectType="Drop" dropStyle="combo" dx="16" fmlaLink="$F$10" fmlaRange="$N$39:$N$40" noThreeD="1" sel="2" val="0"/>
</file>

<file path=xl/ctrlProps/ctrlProp88.xml><?xml version="1.0" encoding="utf-8"?>
<formControlPr xmlns="http://schemas.microsoft.com/office/spreadsheetml/2009/9/main" objectType="Drop" dropStyle="combo" dx="16" fmlaLink="J11" fmlaRange="$O$60:$O$67" noThreeD="1" sel="1" val="0"/>
</file>

<file path=xl/ctrlProps/ctrlProp89.xml><?xml version="1.0" encoding="utf-8"?>
<formControlPr xmlns="http://schemas.microsoft.com/office/spreadsheetml/2009/9/main" objectType="Drop" dropStyle="combo" dx="16" fmlaLink="D22" fmlaRange="$M$39:$M$41" noThreeD="1" sel="1" val="0"/>
</file>

<file path=xl/ctrlProps/ctrlProp90.xml><?xml version="1.0" encoding="utf-8"?>
<formControlPr xmlns="http://schemas.microsoft.com/office/spreadsheetml/2009/9/main" objectType="Drop" dropStyle="combo" dx="16" fmlaLink="D25" fmlaRange="$P$42:$P$44" noThreeD="1" sel="1" val="0"/>
</file>

<file path=xl/ctrlProps/ctrlProp91.xml><?xml version="1.0" encoding="utf-8"?>
<formControlPr xmlns="http://schemas.microsoft.com/office/spreadsheetml/2009/9/main" objectType="Drop" dropStyle="combo" dx="16" fmlaLink="D23" fmlaRange="$P$48:$P$50" noThreeD="1" sel="1" val="0"/>
</file>

<file path=xl/ctrlProps/ctrlProp92.xml><?xml version="1.0" encoding="utf-8"?>
<formControlPr xmlns="http://schemas.microsoft.com/office/spreadsheetml/2009/9/main" objectType="Drop" dropStyle="combo" dx="16" fmlaLink="D26" fmlaRange="$Q$48:$Q$50" noThreeD="1" sel="1" val="0"/>
</file>

<file path=xl/ctrlProps/ctrlProp93.xml><?xml version="1.0" encoding="utf-8"?>
<formControlPr xmlns="http://schemas.microsoft.com/office/spreadsheetml/2009/9/main" objectType="Drop" dropStyle="combo" dx="16" fmlaLink="F20" fmlaRange="$K$34:$K$36" noThreeD="1" sel="1" val="0"/>
</file>

<file path=xl/ctrlProps/ctrlProp94.xml><?xml version="1.0" encoding="utf-8"?>
<formControlPr xmlns="http://schemas.microsoft.com/office/spreadsheetml/2009/9/main" objectType="Drop" dropStyle="combo" dx="16" fmlaLink="K15" fmlaRange="$R$69:$R$73" noThreeD="1" sel="1" val="0"/>
</file>

<file path=xl/ctrlProps/ctrlProp95.xml><?xml version="1.0" encoding="utf-8"?>
<formControlPr xmlns="http://schemas.microsoft.com/office/spreadsheetml/2009/9/main" objectType="Drop" dropStyle="combo" dx="16" fmlaLink="D22" fmlaRange="$M$39:$M$41" noThreeD="1" sel="1" val="0"/>
</file>

<file path=xl/ctrlProps/ctrlProp96.xml><?xml version="1.0" encoding="utf-8"?>
<formControlPr xmlns="http://schemas.microsoft.com/office/spreadsheetml/2009/9/main" objectType="Radio" firstButton="1" fmlaLink="D18"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Drop" dropLines="16" dropStyle="combo" dx="16" fmlaLink="C11" fmlaRange="$O$3:$O$13" noThreeD="1" sel="1" val="0"/>
</file>

<file path=xl/ctrlProps/ctrlProp99.xml><?xml version="1.0" encoding="utf-8"?>
<formControlPr xmlns="http://schemas.microsoft.com/office/spreadsheetml/2009/9/main" objectType="Drop" dropStyle="combo" dx="16" fmlaLink="$F$10" fmlaRange="$N$39:$N$40" noThreeD="1" sel="2" val="0"/>
</file>

<file path=xl/ctrlProps/ctrlProp100.xml><?xml version="1.0" encoding="utf-8"?>
<formControlPr xmlns="http://schemas.microsoft.com/office/spreadsheetml/2009/9/main" objectType="Drop" dropStyle="combo" dx="16" fmlaLink="J11" fmlaRange="$O$60:$O$67" noThreeD="1" sel="1" val="0"/>
</file>

<file path=xl/ctrlProps/ctrlProp101.xml><?xml version="1.0" encoding="utf-8"?>
<formControlPr xmlns="http://schemas.microsoft.com/office/spreadsheetml/2009/9/main" objectType="Drop" dropStyle="combo" dx="16" fmlaLink="D22" fmlaRange="$M$39:$M$41" noThreeD="1" sel="1" val="0"/>
</file>

<file path=xl/ctrlProps/ctrlProp102.xml><?xml version="1.0" encoding="utf-8"?>
<formControlPr xmlns="http://schemas.microsoft.com/office/spreadsheetml/2009/9/main" objectType="Drop" dropStyle="combo" dx="16" fmlaLink="D25" fmlaRange="$P$42:$P$44" noThreeD="1" sel="1" val="0"/>
</file>

<file path=xl/ctrlProps/ctrlProp103.xml><?xml version="1.0" encoding="utf-8"?>
<formControlPr xmlns="http://schemas.microsoft.com/office/spreadsheetml/2009/9/main" objectType="Drop" dropStyle="combo" dx="16" fmlaLink="D23" fmlaRange="$P$48:$P$50" noThreeD="1" sel="1" val="0"/>
</file>

<file path=xl/ctrlProps/ctrlProp104.xml><?xml version="1.0" encoding="utf-8"?>
<formControlPr xmlns="http://schemas.microsoft.com/office/spreadsheetml/2009/9/main" objectType="Drop" dropStyle="combo" dx="16" fmlaLink="D26" fmlaRange="$Q$48:$Q$50" noThreeD="1" sel="1" val="0"/>
</file>

<file path=xl/ctrlProps/ctrlProp105.xml><?xml version="1.0" encoding="utf-8"?>
<formControlPr xmlns="http://schemas.microsoft.com/office/spreadsheetml/2009/9/main" objectType="Drop" dropStyle="combo" dx="16" fmlaLink="F20" fmlaRange="$K$34:$K$36" noThreeD="1" sel="1" val="0"/>
</file>

<file path=xl/ctrlProps/ctrlProp106.xml><?xml version="1.0" encoding="utf-8"?>
<formControlPr xmlns="http://schemas.microsoft.com/office/spreadsheetml/2009/9/main" objectType="Drop" dropStyle="combo" dx="16" fmlaLink="K15" fmlaRange="$R$69:$R$73" noThreeD="1" sel="1" val="0"/>
</file>

<file path=xl/ctrlProps/ctrlProp107.xml><?xml version="1.0" encoding="utf-8"?>
<formControlPr xmlns="http://schemas.microsoft.com/office/spreadsheetml/2009/9/main" objectType="Drop" dropStyle="combo" dx="16" fmlaLink="D22" fmlaRange="$M$39:$M$41" noThreeD="1" sel="1" val="0"/>
</file>

<file path=xl/ctrlProps/ctrlProp108.xml><?xml version="1.0" encoding="utf-8"?>
<formControlPr xmlns="http://schemas.microsoft.com/office/spreadsheetml/2009/9/main" objectType="Radio" firstButton="1" fmlaLink="D18"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Drop" dropLines="16" dropStyle="combo" dx="16" fmlaLink="C11" fmlaRange="$O$3:$O$13" noThreeD="1" sel="1" val="0"/>
</file>

<file path=xl/ctrlProps/ctrlProp111.xml><?xml version="1.0" encoding="utf-8"?>
<formControlPr xmlns="http://schemas.microsoft.com/office/spreadsheetml/2009/9/main" objectType="Drop" dropStyle="combo" dx="16" fmlaLink="$F$10" fmlaRange="$N$39:$N$40" noThreeD="1" sel="2" val="0"/>
</file>

<file path=xl/ctrlProps/ctrlProp112.xml><?xml version="1.0" encoding="utf-8"?>
<formControlPr xmlns="http://schemas.microsoft.com/office/spreadsheetml/2009/9/main" objectType="Drop" dropStyle="combo" dx="16" fmlaLink="J11" fmlaRange="$O$60:$O$67" noThreeD="1" sel="1" val="0"/>
</file>

<file path=xl/ctrlProps/ctrlProp113.xml><?xml version="1.0" encoding="utf-8"?>
<formControlPr xmlns="http://schemas.microsoft.com/office/spreadsheetml/2009/9/main" objectType="Drop" dropStyle="combo" dx="16" fmlaLink="D22" fmlaRange="$M$39:$M$41" noThreeD="1" sel="1" val="0"/>
</file>

<file path=xl/ctrlProps/ctrlProp114.xml><?xml version="1.0" encoding="utf-8"?>
<formControlPr xmlns="http://schemas.microsoft.com/office/spreadsheetml/2009/9/main" objectType="Drop" dropStyle="combo" dx="16" fmlaLink="D25" fmlaRange="$P$42:$P$44" noThreeD="1" sel="1" val="0"/>
</file>

<file path=xl/ctrlProps/ctrlProp115.xml><?xml version="1.0" encoding="utf-8"?>
<formControlPr xmlns="http://schemas.microsoft.com/office/spreadsheetml/2009/9/main" objectType="Drop" dropStyle="combo" dx="16" fmlaLink="D23" fmlaRange="$P$48:$P$50" noThreeD="1" sel="1" val="0"/>
</file>

<file path=xl/ctrlProps/ctrlProp116.xml><?xml version="1.0" encoding="utf-8"?>
<formControlPr xmlns="http://schemas.microsoft.com/office/spreadsheetml/2009/9/main" objectType="Drop" dropStyle="combo" dx="16" fmlaLink="D26" fmlaRange="$Q$48:$Q$50" noThreeD="1" sel="1" val="0"/>
</file>

<file path=xl/ctrlProps/ctrlProp117.xml><?xml version="1.0" encoding="utf-8"?>
<formControlPr xmlns="http://schemas.microsoft.com/office/spreadsheetml/2009/9/main" objectType="Drop" dropStyle="combo" dx="16" fmlaLink="F20" fmlaRange="$K$34:$K$36" noThreeD="1" sel="1" val="0"/>
</file>

<file path=xl/ctrlProps/ctrlProp118.xml><?xml version="1.0" encoding="utf-8"?>
<formControlPr xmlns="http://schemas.microsoft.com/office/spreadsheetml/2009/9/main" objectType="Drop" dropStyle="combo" dx="16" fmlaLink="K15" fmlaRange="$R$69:$R$73" noThreeD="1" sel="1" val="0"/>
</file>

<file path=xl/ctrlProps/ctrlProp119.xml><?xml version="1.0" encoding="utf-8"?>
<formControlPr xmlns="http://schemas.microsoft.com/office/spreadsheetml/2009/9/main" objectType="Drop" dropStyle="combo" dx="16" fmlaLink="D22" fmlaRange="$M$39:$M$41" noThreeD="1" sel="1" val="0"/>
</file>

<file path=xl/ctrlProps/ctrlProp120.xml><?xml version="1.0" encoding="utf-8"?>
<formControlPr xmlns="http://schemas.microsoft.com/office/spreadsheetml/2009/9/main" objectType="Radio" firstButton="1" fmlaLink="D18"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Spin" dx="16" fmlaLink="$N$5" max="8" min="3" page="10" val="5"/>
</file>

<file path=xl/ctrlProps/ctrlProp123.xml><?xml version="1.0" encoding="utf-8"?>
<formControlPr xmlns="http://schemas.microsoft.com/office/spreadsheetml/2009/9/main" objectType="Spin" dx="16" fmlaLink="$O$5" max="8" min="4" page="10" val="4"/>
</file>

<file path=xl/ctrlProps/ctrlProp124.xml><?xml version="1.0" encoding="utf-8"?>
<formControlPr xmlns="http://schemas.microsoft.com/office/spreadsheetml/2009/9/main" objectType="Spin" dx="16" fmlaLink="$N$7" max="8" min="3" page="10" val="4"/>
</file>

<file path=xl/ctrlProps/ctrlProp125.xml><?xml version="1.0" encoding="utf-8"?>
<formControlPr xmlns="http://schemas.microsoft.com/office/spreadsheetml/2009/9/main" objectType="Spin" dx="16" fmlaLink="$O$7" max="10" min="1" page="10" val="4"/>
</file>

<file path=xl/ctrlProps/ctrlProp126.xml><?xml version="1.0" encoding="utf-8"?>
<formControlPr xmlns="http://schemas.microsoft.com/office/spreadsheetml/2009/9/main" objectType="Spin" dx="16" fmlaLink="$P$7" max="8" min="1" page="10" val="2"/>
</file>

<file path=xl/ctrlProps/ctrlProp127.xml><?xml version="1.0" encoding="utf-8"?>
<formControlPr xmlns="http://schemas.microsoft.com/office/spreadsheetml/2009/9/main" objectType="CheckBox" fmlaLink="$A$21" lockText="1" noThreeD="1"/>
</file>

<file path=xl/ctrlProps/ctrlProp128.xml><?xml version="1.0" encoding="utf-8"?>
<formControlPr xmlns="http://schemas.microsoft.com/office/spreadsheetml/2009/9/main" objectType="CheckBox" fmlaLink="$C$21" lockText="1" noThreeD="1"/>
</file>

<file path=xl/ctrlProps/ctrlProp129.xml><?xml version="1.0" encoding="utf-8"?>
<formControlPr xmlns="http://schemas.microsoft.com/office/spreadsheetml/2009/9/main" objectType="CheckBox" checked="Checked" fmlaLink="$F$21" lockText="1" noThreeD="1"/>
</file>

<file path=xl/ctrlProps/ctrlProp130.xml><?xml version="1.0" encoding="utf-8"?>
<formControlPr xmlns="http://schemas.microsoft.com/office/spreadsheetml/2009/9/main" objectType="CheckBox" fmlaLink="$A$21" lockText="1" noThreeD="1"/>
</file>

<file path=xl/ctrlProps/ctrlProp131.xml><?xml version="1.0" encoding="utf-8"?>
<formControlPr xmlns="http://schemas.microsoft.com/office/spreadsheetml/2009/9/main" objectType="CheckBox" fmlaLink="$C$21" lockText="1" noThreeD="1"/>
</file>

<file path=xl/ctrlProps/ctrlProp132.xml><?xml version="1.0" encoding="utf-8"?>
<formControlPr xmlns="http://schemas.microsoft.com/office/spreadsheetml/2009/9/main" objectType="CheckBox" checked="Checked" fmlaLink="$F$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4</xdr:row>
      <xdr:rowOff>28576</xdr:rowOff>
    </xdr:from>
    <xdr:to>
      <xdr:col>2</xdr:col>
      <xdr:colOff>647700</xdr:colOff>
      <xdr:row>5</xdr:row>
      <xdr:rowOff>152401</xdr:rowOff>
    </xdr:to>
    <xdr:pic>
      <xdr:nvPicPr>
        <xdr:cNvPr id="3" name="Picture 2" descr="Jpeg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76226" y="28576"/>
          <a:ext cx="1543049"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571500</xdr:colOff>
      <xdr:row>1</xdr:row>
      <xdr:rowOff>28575</xdr:rowOff>
    </xdr:from>
    <xdr:ext cx="4038600" cy="571500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772525" y="219075"/>
          <a:ext cx="4038600" cy="5715000"/>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xdr:twoCellAnchor>
    <xdr:from>
      <xdr:col>9</xdr:col>
      <xdr:colOff>0</xdr:colOff>
      <xdr:row>100</xdr:row>
      <xdr:rowOff>19051</xdr:rowOff>
    </xdr:from>
    <xdr:to>
      <xdr:col>11</xdr:col>
      <xdr:colOff>0</xdr:colOff>
      <xdr:row>105</xdr:row>
      <xdr:rowOff>19051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9775" y="1992630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267076" y="1865947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4</xdr:col>
          <xdr:colOff>0</xdr:colOff>
          <xdr:row>10</xdr:row>
          <xdr:rowOff>190500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7</xdr:col>
          <xdr:colOff>0</xdr:colOff>
          <xdr:row>10</xdr:row>
          <xdr:rowOff>19050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5</xdr:col>
          <xdr:colOff>0</xdr:colOff>
          <xdr:row>24</xdr:row>
          <xdr:rowOff>180975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7</xdr:col>
          <xdr:colOff>0</xdr:colOff>
          <xdr:row>23</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7</xdr:col>
          <xdr:colOff>9525</xdr:colOff>
          <xdr:row>26</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0</xdr:colOff>
          <xdr:row>20</xdr:row>
          <xdr:rowOff>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xdr:colOff>
      <xdr:row>108</xdr:row>
      <xdr:rowOff>19050</xdr:rowOff>
    </xdr:from>
    <xdr:to>
      <xdr:col>7</xdr:col>
      <xdr:colOff>704850</xdr:colOff>
      <xdr:row>117</xdr:row>
      <xdr:rowOff>190499</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3267075" y="214788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5</xdr:col>
          <xdr:colOff>9525</xdr:colOff>
          <xdr:row>18</xdr:row>
          <xdr:rowOff>9525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5</xdr:col>
          <xdr:colOff>0</xdr:colOff>
          <xdr:row>18</xdr:row>
          <xdr:rowOff>190500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3</xdr:col>
      <xdr:colOff>0</xdr:colOff>
      <xdr:row>14</xdr:row>
      <xdr:rowOff>197826</xdr:rowOff>
    </xdr:from>
    <xdr:to>
      <xdr:col>5</xdr:col>
      <xdr:colOff>0</xdr:colOff>
      <xdr:row>16</xdr:row>
      <xdr:rowOff>190500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831731" y="2930768"/>
          <a:ext cx="835269" cy="388328"/>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xdr:twoCellAnchor editAs="oneCell">
    <xdr:from>
      <xdr:col>2</xdr:col>
      <xdr:colOff>590550</xdr:colOff>
      <xdr:row>0</xdr:row>
      <xdr:rowOff>28575</xdr:rowOff>
    </xdr:from>
    <xdr:to>
      <xdr:col>9</xdr:col>
      <xdr:colOff>134580</xdr:colOff>
      <xdr:row>4</xdr:row>
      <xdr:rowOff>95250</xdr:rowOff>
    </xdr:to>
    <xdr:pic>
      <xdr:nvPicPr>
        <xdr:cNvPr id="19" name="Picture 18" descr="Jpeg LOGO.JP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stretch>
          <a:fillRect/>
        </a:stretch>
      </xdr:blipFill>
      <xdr:spPr>
        <a:xfrm>
          <a:off x="1695450" y="28575"/>
          <a:ext cx="4268430"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9525</xdr:colOff>
      <xdr:row>1</xdr:row>
      <xdr:rowOff>19050</xdr:rowOff>
    </xdr:from>
    <xdr:ext cx="4038600" cy="5419725"/>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10625" y="209550"/>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619125</xdr:colOff>
          <xdr:row>10</xdr:row>
          <xdr:rowOff>190500</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809625</xdr:colOff>
          <xdr:row>10</xdr:row>
          <xdr:rowOff>19050</xdr:rowOff>
        </xdr:to>
        <xdr:sp macro="" textlink="">
          <xdr:nvSpPr>
            <xdr:cNvPr id="39938" name="Drop Down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39939" name="Drop Down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39940" name="Drop Down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190500</xdr:colOff>
          <xdr:row>24</xdr:row>
          <xdr:rowOff>180975</xdr:rowOff>
        </xdr:to>
        <xdr:sp macro="" textlink="">
          <xdr:nvSpPr>
            <xdr:cNvPr id="39941" name="Drop Down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6</xdr:col>
          <xdr:colOff>790575</xdr:colOff>
          <xdr:row>23</xdr:row>
          <xdr:rowOff>0</xdr:rowOff>
        </xdr:to>
        <xdr:sp macro="" textlink="">
          <xdr:nvSpPr>
            <xdr:cNvPr id="39942" name="Drop Down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6</xdr:col>
          <xdr:colOff>800100</xdr:colOff>
          <xdr:row>26</xdr:row>
          <xdr:rowOff>0</xdr:rowOff>
        </xdr:to>
        <xdr:sp macro="" textlink="">
          <xdr:nvSpPr>
            <xdr:cNvPr id="39943" name="Drop Down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39944" name="Drop Down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39945" name="Drop Down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5819775" y="1992630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267076" y="1877377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3267075" y="214788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39967" name="Drop Down 31" hidden="1">
              <a:extLst>
                <a:ext uri="{63B3BB69-23CF-44E3-9099-C40C66FF867C}">
                  <a14:compatExt spid="_x0000_s39967"/>
                </a:ext>
                <a:ext uri="{FF2B5EF4-FFF2-40B4-BE49-F238E27FC236}">
                  <a16:creationId xmlns:a16="http://schemas.microsoft.com/office/drawing/2014/main" id="{00000000-0008-0000-0200-00001F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15</xdr:row>
      <xdr:rowOff>0</xdr:rowOff>
    </xdr:from>
    <xdr:to>
      <xdr:col>5</xdr:col>
      <xdr:colOff>0</xdr:colOff>
      <xdr:row>16</xdr:row>
      <xdr:rowOff>192699</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39968" name="Drop Down 32" hidden="1">
              <a:extLst>
                <a:ext uri="{63B3BB69-23CF-44E3-9099-C40C66FF867C}">
                  <a14:compatExt spid="_x0000_s39968"/>
                </a:ext>
                <a:ext uri="{FF2B5EF4-FFF2-40B4-BE49-F238E27FC236}">
                  <a16:creationId xmlns:a16="http://schemas.microsoft.com/office/drawing/2014/main" id="{00000000-0008-0000-0200-000020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14</xdr:row>
      <xdr:rowOff>197826</xdr:rowOff>
    </xdr:from>
    <xdr:to>
      <xdr:col>5</xdr:col>
      <xdr:colOff>0</xdr:colOff>
      <xdr:row>16</xdr:row>
      <xdr:rowOff>190500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828800" y="2950551"/>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39969" name="Drop Down 33" hidden="1">
              <a:extLst>
                <a:ext uri="{63B3BB69-23CF-44E3-9099-C40C66FF867C}">
                  <a14:compatExt spid="_x0000_s39969"/>
                </a:ext>
                <a:ext uri="{FF2B5EF4-FFF2-40B4-BE49-F238E27FC236}">
                  <a16:creationId xmlns:a16="http://schemas.microsoft.com/office/drawing/2014/main" id="{00000000-0008-0000-0200-00002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16</xdr:row>
          <xdr:rowOff>190500</xdr:rowOff>
        </xdr:from>
        <xdr:to>
          <xdr:col>4</xdr:col>
          <xdr:colOff>171450</xdr:colOff>
          <xdr:row>18</xdr:row>
          <xdr:rowOff>0</xdr:rowOff>
        </xdr:to>
        <xdr:sp macro="" textlink="">
          <xdr:nvSpPr>
            <xdr:cNvPr id="39970" name="Option Button 34" hidden="1">
              <a:extLst>
                <a:ext uri="{63B3BB69-23CF-44E3-9099-C40C66FF867C}">
                  <a14:compatExt spid="_x0000_s39970"/>
                </a:ext>
                <a:ext uri="{FF2B5EF4-FFF2-40B4-BE49-F238E27FC236}">
                  <a16:creationId xmlns:a16="http://schemas.microsoft.com/office/drawing/2014/main" id="{00000000-0008-0000-02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190500</xdr:rowOff>
        </xdr:from>
        <xdr:to>
          <xdr:col>4</xdr:col>
          <xdr:colOff>190500</xdr:colOff>
          <xdr:row>19</xdr:row>
          <xdr:rowOff>19050</xdr:rowOff>
        </xdr:to>
        <xdr:sp macro="" textlink="">
          <xdr:nvSpPr>
            <xdr:cNvPr id="39971" name="Option Button 35" hidden="1">
              <a:extLst>
                <a:ext uri="{63B3BB69-23CF-44E3-9099-C40C66FF867C}">
                  <a14:compatExt spid="_x0000_s39971"/>
                </a:ext>
                <a:ext uri="{FF2B5EF4-FFF2-40B4-BE49-F238E27FC236}">
                  <a16:creationId xmlns:a16="http://schemas.microsoft.com/office/drawing/2014/main" id="{00000000-0008-0000-02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504825</xdr:colOff>
      <xdr:row>0</xdr:row>
      <xdr:rowOff>0</xdr:rowOff>
    </xdr:from>
    <xdr:to>
      <xdr:col>9</xdr:col>
      <xdr:colOff>48855</xdr:colOff>
      <xdr:row>4</xdr:row>
      <xdr:rowOff>66675</xdr:rowOff>
    </xdr:to>
    <xdr:pic>
      <xdr:nvPicPr>
        <xdr:cNvPr id="26" name="Picture 25" descr="Jpeg LOGO.JP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cstate="print"/>
        <a:stretch>
          <a:fillRect/>
        </a:stretch>
      </xdr:blipFill>
      <xdr:spPr>
        <a:xfrm>
          <a:off x="1609725" y="0"/>
          <a:ext cx="4316055"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619125</xdr:colOff>
          <xdr:row>10</xdr:row>
          <xdr:rowOff>190500</xdr:rowOff>
        </xdr:to>
        <xdr:sp macro="" textlink="">
          <xdr:nvSpPr>
            <xdr:cNvPr id="40961" name="Drop Down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809625</xdr:colOff>
          <xdr:row>10</xdr:row>
          <xdr:rowOff>19050</xdr:rowOff>
        </xdr:to>
        <xdr:sp macro="" textlink="">
          <xdr:nvSpPr>
            <xdr:cNvPr id="40962" name="Drop Down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0963" name="Drop Down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0964" name="Drop Down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190500</xdr:colOff>
          <xdr:row>24</xdr:row>
          <xdr:rowOff>180975</xdr:rowOff>
        </xdr:to>
        <xdr:sp macro="" textlink="">
          <xdr:nvSpPr>
            <xdr:cNvPr id="40965" name="Drop Down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6</xdr:col>
          <xdr:colOff>790575</xdr:colOff>
          <xdr:row>23</xdr:row>
          <xdr:rowOff>0</xdr:rowOff>
        </xdr:to>
        <xdr:sp macro="" textlink="">
          <xdr:nvSpPr>
            <xdr:cNvPr id="40966" name="Drop Down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6</xdr:col>
          <xdr:colOff>800100</xdr:colOff>
          <xdr:row>26</xdr:row>
          <xdr:rowOff>0</xdr:rowOff>
        </xdr:to>
        <xdr:sp macro="" textlink="">
          <xdr:nvSpPr>
            <xdr:cNvPr id="40967" name="Drop Down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40968" name="Drop Down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0969" name="Drop Down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0982" name="Drop Down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190500</xdr:rowOff>
        </xdr:from>
        <xdr:to>
          <xdr:col>4</xdr:col>
          <xdr:colOff>171450</xdr:colOff>
          <xdr:row>17</xdr:row>
          <xdr:rowOff>190500</xdr:rowOff>
        </xdr:to>
        <xdr:sp macro="" textlink="">
          <xdr:nvSpPr>
            <xdr:cNvPr id="40983" name="Option Button 23" hidden="1">
              <a:extLst>
                <a:ext uri="{63B3BB69-23CF-44E3-9099-C40C66FF867C}">
                  <a14:compatExt spid="_x0000_s40983"/>
                </a:ext>
                <a:ext uri="{FF2B5EF4-FFF2-40B4-BE49-F238E27FC236}">
                  <a16:creationId xmlns:a16="http://schemas.microsoft.com/office/drawing/2014/main" id="{00000000-0008-0000-0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5</xdr:col>
          <xdr:colOff>142875</xdr:colOff>
          <xdr:row>19</xdr:row>
          <xdr:rowOff>9525</xdr:rowOff>
        </xdr:to>
        <xdr:sp macro="" textlink="">
          <xdr:nvSpPr>
            <xdr:cNvPr id="40984" name="Option Button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428625</xdr:colOff>
      <xdr:row>0</xdr:row>
      <xdr:rowOff>28575</xdr:rowOff>
    </xdr:from>
    <xdr:to>
      <xdr:col>8</xdr:col>
      <xdr:colOff>1029930</xdr:colOff>
      <xdr:row>4</xdr:row>
      <xdr:rowOff>95250</xdr:rowOff>
    </xdr:to>
    <xdr:pic>
      <xdr:nvPicPr>
        <xdr:cNvPr id="24" name="Picture 23" descr="Jpeg LOGO.JPG">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cstate="print"/>
        <a:stretch>
          <a:fillRect/>
        </a:stretch>
      </xdr:blipFill>
      <xdr:spPr>
        <a:xfrm>
          <a:off x="1533525" y="28575"/>
          <a:ext cx="4316055"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619125</xdr:colOff>
          <xdr:row>10</xdr:row>
          <xdr:rowOff>190500</xdr:rowOff>
        </xdr:to>
        <xdr:sp macro="" textlink="">
          <xdr:nvSpPr>
            <xdr:cNvPr id="41985" name="Drop Down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809625</xdr:colOff>
          <xdr:row>10</xdr:row>
          <xdr:rowOff>19050</xdr:rowOff>
        </xdr:to>
        <xdr:sp macro="" textlink="">
          <xdr:nvSpPr>
            <xdr:cNvPr id="41986" name="Drop Down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1987" name="Drop Down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1988" name="Drop Down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190500</xdr:colOff>
          <xdr:row>24</xdr:row>
          <xdr:rowOff>180975</xdr:rowOff>
        </xdr:to>
        <xdr:sp macro="" textlink="">
          <xdr:nvSpPr>
            <xdr:cNvPr id="41989" name="Drop Down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6</xdr:col>
          <xdr:colOff>790575</xdr:colOff>
          <xdr:row>23</xdr:row>
          <xdr:rowOff>0</xdr:rowOff>
        </xdr:to>
        <xdr:sp macro="" textlink="">
          <xdr:nvSpPr>
            <xdr:cNvPr id="41990" name="Drop Down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6</xdr:col>
          <xdr:colOff>800100</xdr:colOff>
          <xdr:row>26</xdr:row>
          <xdr:rowOff>0</xdr:rowOff>
        </xdr:to>
        <xdr:sp macro="" textlink="">
          <xdr:nvSpPr>
            <xdr:cNvPr id="41991" name="Drop Down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41992" name="Drop Down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1993" name="Drop Down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2006" name="Drop Down 22" hidden="1">
              <a:extLst>
                <a:ext uri="{63B3BB69-23CF-44E3-9099-C40C66FF867C}">
                  <a14:compatExt spid="_x0000_s42006"/>
                </a:ext>
                <a:ext uri="{FF2B5EF4-FFF2-40B4-BE49-F238E27FC236}">
                  <a16:creationId xmlns:a16="http://schemas.microsoft.com/office/drawing/2014/main" id="{00000000-0008-0000-0400-00001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142875</xdr:colOff>
          <xdr:row>18</xdr:row>
          <xdr:rowOff>9525</xdr:rowOff>
        </xdr:to>
        <xdr:sp macro="" textlink="">
          <xdr:nvSpPr>
            <xdr:cNvPr id="42007" name="Option Button 23" hidden="1">
              <a:extLst>
                <a:ext uri="{63B3BB69-23CF-44E3-9099-C40C66FF867C}">
                  <a14:compatExt spid="_x0000_s42007"/>
                </a:ext>
                <a:ext uri="{FF2B5EF4-FFF2-40B4-BE49-F238E27FC236}">
                  <a16:creationId xmlns:a16="http://schemas.microsoft.com/office/drawing/2014/main" id="{00000000-0008-0000-04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5</xdr:col>
          <xdr:colOff>142875</xdr:colOff>
          <xdr:row>19</xdr:row>
          <xdr:rowOff>19050</xdr:rowOff>
        </xdr:to>
        <xdr:sp macro="" textlink="">
          <xdr:nvSpPr>
            <xdr:cNvPr id="42008" name="Option Button 24" hidden="1">
              <a:extLst>
                <a:ext uri="{63B3BB69-23CF-44E3-9099-C40C66FF867C}">
                  <a14:compatExt spid="_x0000_s42008"/>
                </a:ext>
                <a:ext uri="{FF2B5EF4-FFF2-40B4-BE49-F238E27FC236}">
                  <a16:creationId xmlns:a16="http://schemas.microsoft.com/office/drawing/2014/main" id="{00000000-0008-0000-04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542925</xdr:colOff>
      <xdr:row>0</xdr:row>
      <xdr:rowOff>0</xdr:rowOff>
    </xdr:from>
    <xdr:to>
      <xdr:col>9</xdr:col>
      <xdr:colOff>86955</xdr:colOff>
      <xdr:row>4</xdr:row>
      <xdr:rowOff>66675</xdr:rowOff>
    </xdr:to>
    <xdr:pic>
      <xdr:nvPicPr>
        <xdr:cNvPr id="23" name="Picture 22" descr="Jpeg LOGO.JPG">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cstate="print"/>
        <a:stretch>
          <a:fillRect/>
        </a:stretch>
      </xdr:blipFill>
      <xdr:spPr>
        <a:xfrm>
          <a:off x="1647825" y="0"/>
          <a:ext cx="4316055"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619125</xdr:colOff>
          <xdr:row>10</xdr:row>
          <xdr:rowOff>190500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809625</xdr:colOff>
          <xdr:row>10</xdr:row>
          <xdr:rowOff>19050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4035" name="Drop Down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4036" name="Drop Down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190500</xdr:colOff>
          <xdr:row>24</xdr:row>
          <xdr:rowOff>180975</xdr:rowOff>
        </xdr:to>
        <xdr:sp macro="" textlink="">
          <xdr:nvSpPr>
            <xdr:cNvPr id="44037" name="Drop Down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6</xdr:col>
          <xdr:colOff>790575</xdr:colOff>
          <xdr:row>23</xdr:row>
          <xdr:rowOff>0</xdr:rowOff>
        </xdr:to>
        <xdr:sp macro="" textlink="">
          <xdr:nvSpPr>
            <xdr:cNvPr id="44038" name="Drop Down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6</xdr:col>
          <xdr:colOff>800100</xdr:colOff>
          <xdr:row>26</xdr:row>
          <xdr:rowOff>0</xdr:rowOff>
        </xdr:to>
        <xdr:sp macro="" textlink="">
          <xdr:nvSpPr>
            <xdr:cNvPr id="44039" name="Drop Down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44040" name="Drop Down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4041" name="Drop Down 9"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4054" name="Drop Down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190500</xdr:rowOff>
        </xdr:from>
        <xdr:to>
          <xdr:col>5</xdr:col>
          <xdr:colOff>142875</xdr:colOff>
          <xdr:row>18</xdr:row>
          <xdr:rowOff>0</xdr:rowOff>
        </xdr:to>
        <xdr:sp macro="" textlink="">
          <xdr:nvSpPr>
            <xdr:cNvPr id="44055" name="Option Button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5</xdr:col>
          <xdr:colOff>142875</xdr:colOff>
          <xdr:row>19</xdr:row>
          <xdr:rowOff>19050</xdr:rowOff>
        </xdr:to>
        <xdr:sp macro="" textlink="">
          <xdr:nvSpPr>
            <xdr:cNvPr id="44056" name="Option Button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428625</xdr:colOff>
      <xdr:row>0</xdr:row>
      <xdr:rowOff>19050</xdr:rowOff>
    </xdr:from>
    <xdr:to>
      <xdr:col>8</xdr:col>
      <xdr:colOff>1029930</xdr:colOff>
      <xdr:row>4</xdr:row>
      <xdr:rowOff>85725</xdr:rowOff>
    </xdr:to>
    <xdr:pic>
      <xdr:nvPicPr>
        <xdr:cNvPr id="23" name="Picture 22" descr="Jpeg LOGO.JPG">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 cstate="print"/>
        <a:stretch>
          <a:fillRect/>
        </a:stretch>
      </xdr:blipFill>
      <xdr:spPr>
        <a:xfrm>
          <a:off x="1533525" y="19050"/>
          <a:ext cx="4316055"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619125</xdr:colOff>
          <xdr:row>10</xdr:row>
          <xdr:rowOff>190500</xdr:rowOff>
        </xdr:to>
        <xdr:sp macro="" textlink="">
          <xdr:nvSpPr>
            <xdr:cNvPr id="45057" name="Drop Down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809625</xdr:colOff>
          <xdr:row>10</xdr:row>
          <xdr:rowOff>19050</xdr:rowOff>
        </xdr:to>
        <xdr:sp macro="" textlink="">
          <xdr:nvSpPr>
            <xdr:cNvPr id="45058" name="Drop Down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5059" name="Drop Down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5060" name="Drop Down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190500</xdr:colOff>
          <xdr:row>24</xdr:row>
          <xdr:rowOff>180975</xdr:rowOff>
        </xdr:to>
        <xdr:sp macro="" textlink="">
          <xdr:nvSpPr>
            <xdr:cNvPr id="45061" name="Drop Down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6</xdr:col>
          <xdr:colOff>790575</xdr:colOff>
          <xdr:row>23</xdr:row>
          <xdr:rowOff>0</xdr:rowOff>
        </xdr:to>
        <xdr:sp macro="" textlink="">
          <xdr:nvSpPr>
            <xdr:cNvPr id="45062" name="Drop Down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6</xdr:col>
          <xdr:colOff>800100</xdr:colOff>
          <xdr:row>26</xdr:row>
          <xdr:rowOff>0</xdr:rowOff>
        </xdr:to>
        <xdr:sp macro="" textlink="">
          <xdr:nvSpPr>
            <xdr:cNvPr id="45063" name="Drop Down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6</xdr:col>
          <xdr:colOff>809625</xdr:colOff>
          <xdr:row>20</xdr:row>
          <xdr:rowOff>0</xdr:rowOff>
        </xdr:to>
        <xdr:sp macro="" textlink="">
          <xdr:nvSpPr>
            <xdr:cNvPr id="45064" name="Drop Down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5065" name="Drop Down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4</xdr:col>
          <xdr:colOff>190500</xdr:colOff>
          <xdr:row>21</xdr:row>
          <xdr:rowOff>190500</xdr:rowOff>
        </xdr:to>
        <xdr:sp macro="" textlink="">
          <xdr:nvSpPr>
            <xdr:cNvPr id="45078" name="Drop Down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142875</xdr:colOff>
          <xdr:row>18</xdr:row>
          <xdr:rowOff>9525</xdr:rowOff>
        </xdr:to>
        <xdr:sp macro="" textlink="">
          <xdr:nvSpPr>
            <xdr:cNvPr id="45079" name="Option Button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152400</xdr:colOff>
          <xdr:row>19</xdr:row>
          <xdr:rowOff>19050</xdr:rowOff>
        </xdr:to>
        <xdr:sp macro="" textlink="">
          <xdr:nvSpPr>
            <xdr:cNvPr id="45080" name="Option Button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561975</xdr:colOff>
      <xdr:row>0</xdr:row>
      <xdr:rowOff>0</xdr:rowOff>
    </xdr:from>
    <xdr:to>
      <xdr:col>9</xdr:col>
      <xdr:colOff>106005</xdr:colOff>
      <xdr:row>4</xdr:row>
      <xdr:rowOff>66675</xdr:rowOff>
    </xdr:to>
    <xdr:pic>
      <xdr:nvPicPr>
        <xdr:cNvPr id="23" name="Picture 22" descr="Jpeg LOGO.JPG">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stretch>
          <a:fillRect/>
        </a:stretch>
      </xdr:blipFill>
      <xdr:spPr>
        <a:xfrm>
          <a:off x="1666875" y="0"/>
          <a:ext cx="4316055"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4</xdr:col>
          <xdr:colOff>0</xdr:colOff>
          <xdr:row>10</xdr:row>
          <xdr:rowOff>190500</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7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7</xdr:col>
          <xdr:colOff>0</xdr:colOff>
          <xdr:row>10</xdr:row>
          <xdr:rowOff>19050</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7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6083" name="Drop Down 3" hidden="1">
              <a:extLst>
                <a:ext uri="{63B3BB69-23CF-44E3-9099-C40C66FF867C}">
                  <a14:compatExt spid="_x0000_s46083"/>
                </a:ext>
                <a:ext uri="{FF2B5EF4-FFF2-40B4-BE49-F238E27FC236}">
                  <a16:creationId xmlns:a16="http://schemas.microsoft.com/office/drawing/2014/main" id="{00000000-0008-0000-0700-00000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6084" name="Drop Down 4" hidden="1">
              <a:extLst>
                <a:ext uri="{63B3BB69-23CF-44E3-9099-C40C66FF867C}">
                  <a14:compatExt spid="_x0000_s46084"/>
                </a:ext>
                <a:ext uri="{FF2B5EF4-FFF2-40B4-BE49-F238E27FC236}">
                  <a16:creationId xmlns:a16="http://schemas.microsoft.com/office/drawing/2014/main" id="{00000000-0008-0000-0700-000004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5</xdr:col>
          <xdr:colOff>0</xdr:colOff>
          <xdr:row>24</xdr:row>
          <xdr:rowOff>180975</xdr:rowOff>
        </xdr:to>
        <xdr:sp macro="" textlink="">
          <xdr:nvSpPr>
            <xdr:cNvPr id="46085" name="Drop Down 5" hidden="1">
              <a:extLst>
                <a:ext uri="{63B3BB69-23CF-44E3-9099-C40C66FF867C}">
                  <a14:compatExt spid="_x0000_s46085"/>
                </a:ext>
                <a:ext uri="{FF2B5EF4-FFF2-40B4-BE49-F238E27FC236}">
                  <a16:creationId xmlns:a16="http://schemas.microsoft.com/office/drawing/2014/main" id="{00000000-0008-0000-0700-00000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7</xdr:col>
          <xdr:colOff>0</xdr:colOff>
          <xdr:row>23</xdr:row>
          <xdr:rowOff>0</xdr:rowOff>
        </xdr:to>
        <xdr:sp macro="" textlink="">
          <xdr:nvSpPr>
            <xdr:cNvPr id="46086" name="Drop Down 6" hidden="1">
              <a:extLst>
                <a:ext uri="{63B3BB69-23CF-44E3-9099-C40C66FF867C}">
                  <a14:compatExt spid="_x0000_s46086"/>
                </a:ext>
                <a:ext uri="{FF2B5EF4-FFF2-40B4-BE49-F238E27FC236}">
                  <a16:creationId xmlns:a16="http://schemas.microsoft.com/office/drawing/2014/main" id="{00000000-0008-0000-0700-000006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7</xdr:col>
          <xdr:colOff>9525</xdr:colOff>
          <xdr:row>26</xdr:row>
          <xdr:rowOff>0</xdr:rowOff>
        </xdr:to>
        <xdr:sp macro="" textlink="">
          <xdr:nvSpPr>
            <xdr:cNvPr id="46087" name="Drop Down 7" hidden="1">
              <a:extLst>
                <a:ext uri="{63B3BB69-23CF-44E3-9099-C40C66FF867C}">
                  <a14:compatExt spid="_x0000_s46087"/>
                </a:ext>
                <a:ext uri="{FF2B5EF4-FFF2-40B4-BE49-F238E27FC236}">
                  <a16:creationId xmlns:a16="http://schemas.microsoft.com/office/drawing/2014/main" id="{00000000-0008-0000-0700-000007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0</xdr:colOff>
          <xdr:row>20</xdr:row>
          <xdr:rowOff>0</xdr:rowOff>
        </xdr:to>
        <xdr:sp macro="" textlink="">
          <xdr:nvSpPr>
            <xdr:cNvPr id="46088" name="Drop Down 8" hidden="1">
              <a:extLst>
                <a:ext uri="{63B3BB69-23CF-44E3-9099-C40C66FF867C}">
                  <a14:compatExt spid="_x0000_s46088"/>
                </a:ext>
                <a:ext uri="{FF2B5EF4-FFF2-40B4-BE49-F238E27FC236}">
                  <a16:creationId xmlns:a16="http://schemas.microsoft.com/office/drawing/2014/main" id="{00000000-0008-0000-0700-000008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6089" name="Drop Down 9" hidden="1">
              <a:extLst>
                <a:ext uri="{63B3BB69-23CF-44E3-9099-C40C66FF867C}">
                  <a14:compatExt spid="_x0000_s46089"/>
                </a:ext>
                <a:ext uri="{FF2B5EF4-FFF2-40B4-BE49-F238E27FC236}">
                  <a16:creationId xmlns:a16="http://schemas.microsoft.com/office/drawing/2014/main" id="{00000000-0008-0000-0700-000009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6102" name="Drop Down 22" hidden="1">
              <a:extLst>
                <a:ext uri="{63B3BB69-23CF-44E3-9099-C40C66FF867C}">
                  <a14:compatExt spid="_x0000_s46102"/>
                </a:ext>
                <a:ext uri="{FF2B5EF4-FFF2-40B4-BE49-F238E27FC236}">
                  <a16:creationId xmlns:a16="http://schemas.microsoft.com/office/drawing/2014/main" id="{00000000-0008-0000-0700-000016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190500</xdr:rowOff>
        </xdr:from>
        <xdr:to>
          <xdr:col>5</xdr:col>
          <xdr:colOff>171450</xdr:colOff>
          <xdr:row>18</xdr:row>
          <xdr:rowOff>0</xdr:rowOff>
        </xdr:to>
        <xdr:sp macro="" textlink="">
          <xdr:nvSpPr>
            <xdr:cNvPr id="46103" name="Option Button 23" hidden="1">
              <a:extLst>
                <a:ext uri="{63B3BB69-23CF-44E3-9099-C40C66FF867C}">
                  <a14:compatExt spid="_x0000_s46103"/>
                </a:ext>
                <a:ext uri="{FF2B5EF4-FFF2-40B4-BE49-F238E27FC236}">
                  <a16:creationId xmlns:a16="http://schemas.microsoft.com/office/drawing/2014/main" id="{00000000-0008-0000-07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5</xdr:col>
          <xdr:colOff>161925</xdr:colOff>
          <xdr:row>19</xdr:row>
          <xdr:rowOff>9525</xdr:rowOff>
        </xdr:to>
        <xdr:sp macro="" textlink="">
          <xdr:nvSpPr>
            <xdr:cNvPr id="46104" name="Option Button 24" hidden="1">
              <a:extLst>
                <a:ext uri="{63B3BB69-23CF-44E3-9099-C40C66FF867C}">
                  <a14:compatExt spid="_x0000_s46104"/>
                </a:ext>
                <a:ext uri="{FF2B5EF4-FFF2-40B4-BE49-F238E27FC236}">
                  <a16:creationId xmlns:a16="http://schemas.microsoft.com/office/drawing/2014/main" id="{00000000-0008-0000-07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447675</xdr:colOff>
      <xdr:row>0</xdr:row>
      <xdr:rowOff>19050</xdr:rowOff>
    </xdr:from>
    <xdr:to>
      <xdr:col>8</xdr:col>
      <xdr:colOff>1039455</xdr:colOff>
      <xdr:row>4</xdr:row>
      <xdr:rowOff>85725</xdr:rowOff>
    </xdr:to>
    <xdr:pic>
      <xdr:nvPicPr>
        <xdr:cNvPr id="23" name="Picture 22" descr="Jpeg LOGO.JPG">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 cstate="print"/>
        <a:stretch>
          <a:fillRect/>
        </a:stretch>
      </xdr:blipFill>
      <xdr:spPr>
        <a:xfrm>
          <a:off x="1552575" y="19050"/>
          <a:ext cx="4268430"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4</xdr:col>
          <xdr:colOff>0</xdr:colOff>
          <xdr:row>10</xdr:row>
          <xdr:rowOff>190500</xdr:rowOff>
        </xdr:to>
        <xdr:sp macro="" textlink="">
          <xdr:nvSpPr>
            <xdr:cNvPr id="47105" name="Drop Down 1"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7</xdr:col>
          <xdr:colOff>0</xdr:colOff>
          <xdr:row>10</xdr:row>
          <xdr:rowOff>19050</xdr:rowOff>
        </xdr:to>
        <xdr:sp macro="" textlink="">
          <xdr:nvSpPr>
            <xdr:cNvPr id="47106" name="Drop Down 2"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7107" name="Drop Down 3" hidden="1">
              <a:extLst>
                <a:ext uri="{63B3BB69-23CF-44E3-9099-C40C66FF867C}">
                  <a14:compatExt spid="_x0000_s47107"/>
                </a:ext>
                <a:ext uri="{FF2B5EF4-FFF2-40B4-BE49-F238E27FC236}">
                  <a16:creationId xmlns:a16="http://schemas.microsoft.com/office/drawing/2014/main" id="{00000000-0008-0000-0800-00000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7108" name="Drop Down 4" hidden="1">
              <a:extLst>
                <a:ext uri="{63B3BB69-23CF-44E3-9099-C40C66FF867C}">
                  <a14:compatExt spid="_x0000_s47108"/>
                </a:ext>
                <a:ext uri="{FF2B5EF4-FFF2-40B4-BE49-F238E27FC236}">
                  <a16:creationId xmlns:a16="http://schemas.microsoft.com/office/drawing/2014/main" id="{00000000-0008-0000-0800-000004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5</xdr:col>
          <xdr:colOff>0</xdr:colOff>
          <xdr:row>24</xdr:row>
          <xdr:rowOff>180975</xdr:rowOff>
        </xdr:to>
        <xdr:sp macro="" textlink="">
          <xdr:nvSpPr>
            <xdr:cNvPr id="47109" name="Drop Down 5" hidden="1">
              <a:extLst>
                <a:ext uri="{63B3BB69-23CF-44E3-9099-C40C66FF867C}">
                  <a14:compatExt spid="_x0000_s47109"/>
                </a:ext>
                <a:ext uri="{FF2B5EF4-FFF2-40B4-BE49-F238E27FC236}">
                  <a16:creationId xmlns:a16="http://schemas.microsoft.com/office/drawing/2014/main" id="{00000000-0008-0000-0800-00000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7</xdr:col>
          <xdr:colOff>0</xdr:colOff>
          <xdr:row>23</xdr:row>
          <xdr:rowOff>0</xdr:rowOff>
        </xdr:to>
        <xdr:sp macro="" textlink="">
          <xdr:nvSpPr>
            <xdr:cNvPr id="47110" name="Drop Down 6" hidden="1">
              <a:extLst>
                <a:ext uri="{63B3BB69-23CF-44E3-9099-C40C66FF867C}">
                  <a14:compatExt spid="_x0000_s47110"/>
                </a:ext>
                <a:ext uri="{FF2B5EF4-FFF2-40B4-BE49-F238E27FC236}">
                  <a16:creationId xmlns:a16="http://schemas.microsoft.com/office/drawing/2014/main" id="{00000000-0008-0000-0800-000006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7</xdr:col>
          <xdr:colOff>9525</xdr:colOff>
          <xdr:row>26</xdr:row>
          <xdr:rowOff>0</xdr:rowOff>
        </xdr:to>
        <xdr:sp macro="" textlink="">
          <xdr:nvSpPr>
            <xdr:cNvPr id="47111" name="Drop Down 7" hidden="1">
              <a:extLst>
                <a:ext uri="{63B3BB69-23CF-44E3-9099-C40C66FF867C}">
                  <a14:compatExt spid="_x0000_s47111"/>
                </a:ext>
                <a:ext uri="{FF2B5EF4-FFF2-40B4-BE49-F238E27FC236}">
                  <a16:creationId xmlns:a16="http://schemas.microsoft.com/office/drawing/2014/main" id="{00000000-0008-0000-0800-000007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0</xdr:colOff>
          <xdr:row>20</xdr:row>
          <xdr:rowOff>0</xdr:rowOff>
        </xdr:to>
        <xdr:sp macro="" textlink="">
          <xdr:nvSpPr>
            <xdr:cNvPr id="47112" name="Drop Down 8" hidden="1">
              <a:extLst>
                <a:ext uri="{63B3BB69-23CF-44E3-9099-C40C66FF867C}">
                  <a14:compatExt spid="_x0000_s47112"/>
                </a:ext>
                <a:ext uri="{FF2B5EF4-FFF2-40B4-BE49-F238E27FC236}">
                  <a16:creationId xmlns:a16="http://schemas.microsoft.com/office/drawing/2014/main" id="{00000000-0008-0000-0800-000008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7113" name="Drop Down 9" hidden="1">
              <a:extLst>
                <a:ext uri="{63B3BB69-23CF-44E3-9099-C40C66FF867C}">
                  <a14:compatExt spid="_x0000_s47113"/>
                </a:ext>
                <a:ext uri="{FF2B5EF4-FFF2-40B4-BE49-F238E27FC236}">
                  <a16:creationId xmlns:a16="http://schemas.microsoft.com/office/drawing/2014/main" id="{00000000-0008-0000-0800-000009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7126" name="Drop Down 22" hidden="1">
              <a:extLst>
                <a:ext uri="{63B3BB69-23CF-44E3-9099-C40C66FF867C}">
                  <a14:compatExt spid="_x0000_s47126"/>
                </a:ext>
                <a:ext uri="{FF2B5EF4-FFF2-40B4-BE49-F238E27FC236}">
                  <a16:creationId xmlns:a16="http://schemas.microsoft.com/office/drawing/2014/main" id="{00000000-0008-0000-0800-000016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161925</xdr:colOff>
          <xdr:row>18</xdr:row>
          <xdr:rowOff>9525</xdr:rowOff>
        </xdr:to>
        <xdr:sp macro="" textlink="">
          <xdr:nvSpPr>
            <xdr:cNvPr id="47127" name="Option Button 23" hidden="1">
              <a:extLst>
                <a:ext uri="{63B3BB69-23CF-44E3-9099-C40C66FF867C}">
                  <a14:compatExt spid="_x0000_s47127"/>
                </a:ext>
                <a:ext uri="{FF2B5EF4-FFF2-40B4-BE49-F238E27FC236}">
                  <a16:creationId xmlns:a16="http://schemas.microsoft.com/office/drawing/2014/main" id="{00000000-0008-0000-08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18</xdr:row>
          <xdr:rowOff>9525</xdr:rowOff>
        </xdr:from>
        <xdr:to>
          <xdr:col>5</xdr:col>
          <xdr:colOff>152400</xdr:colOff>
          <xdr:row>19</xdr:row>
          <xdr:rowOff>19050</xdr:rowOff>
        </xdr:to>
        <xdr:sp macro="" textlink="">
          <xdr:nvSpPr>
            <xdr:cNvPr id="47128" name="Option Button 24" hidden="1">
              <a:extLst>
                <a:ext uri="{63B3BB69-23CF-44E3-9099-C40C66FF867C}">
                  <a14:compatExt spid="_x0000_s47128"/>
                </a:ext>
                <a:ext uri="{FF2B5EF4-FFF2-40B4-BE49-F238E27FC236}">
                  <a16:creationId xmlns:a16="http://schemas.microsoft.com/office/drawing/2014/main" id="{00000000-0008-0000-08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8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476250</xdr:colOff>
      <xdr:row>0</xdr:row>
      <xdr:rowOff>57150</xdr:rowOff>
    </xdr:from>
    <xdr:to>
      <xdr:col>9</xdr:col>
      <xdr:colOff>20280</xdr:colOff>
      <xdr:row>4</xdr:row>
      <xdr:rowOff>123825</xdr:rowOff>
    </xdr:to>
    <xdr:pic>
      <xdr:nvPicPr>
        <xdr:cNvPr id="23" name="Picture 22" descr="Jpeg LOGO.JPG">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cstate="print"/>
        <a:stretch>
          <a:fillRect/>
        </a:stretch>
      </xdr:blipFill>
      <xdr:spPr>
        <a:xfrm>
          <a:off x="1581150" y="57150"/>
          <a:ext cx="4268430" cy="82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4</xdr:col>
          <xdr:colOff>0</xdr:colOff>
          <xdr:row>10</xdr:row>
          <xdr:rowOff>190500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7</xdr:col>
          <xdr:colOff>0</xdr:colOff>
          <xdr:row>10</xdr:row>
          <xdr:rowOff>19050</xdr:rowOff>
        </xdr:to>
        <xdr:sp macro="" textlink="">
          <xdr:nvSpPr>
            <xdr:cNvPr id="48130" name="Drop Down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8131" name="Drop Down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8132" name="Drop Down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5</xdr:col>
          <xdr:colOff>0</xdr:colOff>
          <xdr:row>24</xdr:row>
          <xdr:rowOff>180975</xdr:rowOff>
        </xdr:to>
        <xdr:sp macro="" textlink="">
          <xdr:nvSpPr>
            <xdr:cNvPr id="48133" name="Drop Down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7</xdr:col>
          <xdr:colOff>0</xdr:colOff>
          <xdr:row>23</xdr:row>
          <xdr:rowOff>0</xdr:rowOff>
        </xdr:to>
        <xdr:sp macro="" textlink="">
          <xdr:nvSpPr>
            <xdr:cNvPr id="48134" name="Drop Down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7</xdr:col>
          <xdr:colOff>9525</xdr:colOff>
          <xdr:row>26</xdr:row>
          <xdr:rowOff>0</xdr:rowOff>
        </xdr:to>
        <xdr:sp macro="" textlink="">
          <xdr:nvSpPr>
            <xdr:cNvPr id="48135" name="Drop Down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0</xdr:colOff>
          <xdr:row>20</xdr:row>
          <xdr:rowOff>0</xdr:rowOff>
        </xdr:to>
        <xdr:sp macro="" textlink="">
          <xdr:nvSpPr>
            <xdr:cNvPr id="48136" name="Drop Down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8137" name="Drop Down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8150" name="Drop Down 22" hidden="1">
              <a:extLst>
                <a:ext uri="{63B3BB69-23CF-44E3-9099-C40C66FF867C}">
                  <a14:compatExt spid="_x0000_s48150"/>
                </a:ext>
                <a:ext uri="{FF2B5EF4-FFF2-40B4-BE49-F238E27FC236}">
                  <a16:creationId xmlns:a16="http://schemas.microsoft.com/office/drawing/2014/main" id="{00000000-0008-0000-0900-00001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190500</xdr:rowOff>
        </xdr:from>
        <xdr:to>
          <xdr:col>5</xdr:col>
          <xdr:colOff>161925</xdr:colOff>
          <xdr:row>18</xdr:row>
          <xdr:rowOff>0</xdr:rowOff>
        </xdr:to>
        <xdr:sp macro="" textlink="">
          <xdr:nvSpPr>
            <xdr:cNvPr id="48151" name="Option Button 23" hidden="1">
              <a:extLst>
                <a:ext uri="{63B3BB69-23CF-44E3-9099-C40C66FF867C}">
                  <a14:compatExt spid="_x0000_s48151"/>
                </a:ext>
                <a:ext uri="{FF2B5EF4-FFF2-40B4-BE49-F238E27FC236}">
                  <a16:creationId xmlns:a16="http://schemas.microsoft.com/office/drawing/2014/main" id="{00000000-0008-0000-09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18</xdr:row>
          <xdr:rowOff>0</xdr:rowOff>
        </xdr:from>
        <xdr:to>
          <xdr:col>5</xdr:col>
          <xdr:colOff>152400</xdr:colOff>
          <xdr:row>19</xdr:row>
          <xdr:rowOff>9525</xdr:rowOff>
        </xdr:to>
        <xdr:sp macro="" textlink="">
          <xdr:nvSpPr>
            <xdr:cNvPr id="48152" name="Option Button 24" hidden="1">
              <a:extLst>
                <a:ext uri="{63B3BB69-23CF-44E3-9099-C40C66FF867C}">
                  <a14:compatExt spid="_x0000_s48152"/>
                </a:ext>
                <a:ext uri="{FF2B5EF4-FFF2-40B4-BE49-F238E27FC236}">
                  <a16:creationId xmlns:a16="http://schemas.microsoft.com/office/drawing/2014/main" id="{00000000-0008-0000-09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438150</xdr:colOff>
      <xdr:row>0</xdr:row>
      <xdr:rowOff>38100</xdr:rowOff>
    </xdr:from>
    <xdr:to>
      <xdr:col>8</xdr:col>
      <xdr:colOff>1029930</xdr:colOff>
      <xdr:row>4</xdr:row>
      <xdr:rowOff>104775</xdr:rowOff>
    </xdr:to>
    <xdr:pic>
      <xdr:nvPicPr>
        <xdr:cNvPr id="23" name="Picture 22" descr="Jpeg LOGO.JPG">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 cstate="print"/>
        <a:stretch>
          <a:fillRect/>
        </a:stretch>
      </xdr:blipFill>
      <xdr:spPr>
        <a:xfrm>
          <a:off x="1543050" y="38100"/>
          <a:ext cx="4268430"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19050</xdr:colOff>
      <xdr:row>2</xdr:row>
      <xdr:rowOff>28575</xdr:rowOff>
    </xdr:from>
    <xdr:ext cx="4038600" cy="5419725"/>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8820150" y="409575"/>
          <a:ext cx="4038600" cy="5419725"/>
        </a:xfrm>
        <a:prstGeom prst="rect">
          <a:avLst/>
        </a:prstGeom>
        <a:solidFill>
          <a:schemeClr val="bg2">
            <a:lumMod val="90000"/>
          </a:schemeClr>
        </a:solidFill>
        <a:ln w="38100" cmpd="sng">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t>Estimate Sheet Instructions</a:t>
          </a:r>
        </a:p>
        <a:p>
          <a:pPr algn="ctr"/>
          <a:endParaRPr lang="en-US" sz="1100"/>
        </a:p>
        <a:p>
          <a:pPr algn="l"/>
          <a:r>
            <a:rPr lang="en-US" sz="1100"/>
            <a:t>Please fill in the Yellow Boxes.  Green Boxes Autopopulate once the required</a:t>
          </a:r>
          <a:r>
            <a:rPr lang="en-US" sz="1100" baseline="0"/>
            <a:t> information has been entered in the yellow boxes.</a:t>
          </a:r>
          <a:endParaRPr lang="en-US" sz="1100"/>
        </a:p>
        <a:p>
          <a:pPr algn="l"/>
          <a:r>
            <a:rPr lang="en-US" sz="1100"/>
            <a:t>Please</a:t>
          </a:r>
          <a:r>
            <a:rPr lang="en-US" sz="1100" baseline="0"/>
            <a:t> click any hyperlinks to be taken to the  applicable page on buildblock.com.</a:t>
          </a:r>
          <a:endParaRPr lang="en-US" sz="1100"/>
        </a:p>
        <a:p>
          <a:pPr algn="l"/>
          <a:r>
            <a:rPr lang="en-US" sz="1100"/>
            <a:t>1. Choose</a:t>
          </a:r>
          <a:r>
            <a:rPr lang="en-US" sz="1100" baseline="0"/>
            <a:t> the block you wish to use, from the drop down menu  cell C11.</a:t>
          </a:r>
        </a:p>
        <a:p>
          <a:pPr algn="l"/>
          <a:r>
            <a:rPr lang="en-US" sz="1100"/>
            <a:t>2. Enter the wall height in feet and inches cells C13,D13.</a:t>
          </a:r>
        </a:p>
        <a:p>
          <a:pPr algn="l"/>
          <a:r>
            <a:rPr lang="en-US" sz="1100"/>
            <a:t>3. Enter the total wall length, in feet cell C15.</a:t>
          </a:r>
        </a:p>
        <a:p>
          <a:pPr algn="l"/>
          <a:r>
            <a:rPr lang="en-US" sz="1100"/>
            <a:t>4. </a:t>
          </a:r>
          <a:r>
            <a:rPr lang="en-US" sz="1100" baseline="0"/>
            <a:t> Enter the number of  bldg plan corners cell C17-C20.  Outside corners will calculate the long side of the corner blocks.  Inside corners will calculate the short side. (Note: for additional material, you can choose all corners as inside, giving you a little extra block material to work with).</a:t>
          </a:r>
        </a:p>
        <a:p>
          <a:pPr algn="l"/>
          <a:r>
            <a:rPr lang="en-US" sz="1100" baseline="0"/>
            <a:t>5. Enter  the length of wall you wish to use Brickledge blocks on in cell C22. Do the same for Double Tapers in cell C25.</a:t>
          </a:r>
        </a:p>
        <a:p>
          <a:pPr algn="l"/>
          <a:r>
            <a:rPr lang="en-US" sz="1100" baseline="0"/>
            <a:t>6. Choose the brickledge you wish from the drop down menu cell D22, and the corner calculation you prefer cell D26. Do the same for the Double Tapers in cells D25 and D26.</a:t>
          </a:r>
        </a:p>
        <a:p>
          <a:r>
            <a:rPr lang="en-US" sz="1100" baseline="0">
              <a:solidFill>
                <a:schemeClr val="tx1"/>
              </a:solidFill>
              <a:latin typeface="+mn-lt"/>
              <a:ea typeface="+mn-ea"/>
              <a:cs typeface="+mn-cs"/>
            </a:rPr>
            <a:t>7. Choose your Deck panel size if you are using Build Deck in cell J11.</a:t>
          </a:r>
          <a:endParaRPr lang="en-US"/>
        </a:p>
        <a:p>
          <a:r>
            <a:rPr lang="en-US" sz="1100" baseline="0">
              <a:solidFill>
                <a:schemeClr val="tx1"/>
              </a:solidFill>
              <a:latin typeface="+mn-lt"/>
              <a:ea typeface="+mn-ea"/>
              <a:cs typeface="+mn-cs"/>
            </a:rPr>
            <a:t>8. Enter the length and width of the floor, if it is square.  If it is not, calculate the square footage and enter the length as your square footage and the width as 1.</a:t>
          </a:r>
          <a:endParaRPr lang="en-US"/>
        </a:p>
        <a:p>
          <a:r>
            <a:rPr lang="en-US" sz="1100" baseline="0">
              <a:solidFill>
                <a:schemeClr val="tx1"/>
              </a:solidFill>
              <a:latin typeface="+mn-lt"/>
              <a:ea typeface="+mn-ea"/>
              <a:cs typeface="+mn-cs"/>
            </a:rPr>
            <a:t>9. Choose the cap thickness for concrete cell K15. (Note: the concrete volume is only applicable to the standard panels and 3" or 4" cap.  The use of top hats to increase load capacity or span will require a manual calculation for concrete.)</a:t>
          </a:r>
          <a:endParaRPr lang="en-US"/>
        </a:p>
        <a:p>
          <a:pPr algn="l"/>
          <a:r>
            <a:rPr lang="en-US" sz="1100" baseline="0"/>
            <a:t>10. Enter your openings in the tables below. Windows: cells 41 - 65, Doors: cells 72 - 86.  The format uses standard  sizing for the industry.  Doors and Windows are on separate tables.</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4</xdr:col>
          <xdr:colOff>0</xdr:colOff>
          <xdr:row>10</xdr:row>
          <xdr:rowOff>190500</xdr:rowOff>
        </xdr:to>
        <xdr:sp macro="" textlink="">
          <xdr:nvSpPr>
            <xdr:cNvPr id="43009" name="Drop Down 1" hidden="1">
              <a:extLst>
                <a:ext uri="{63B3BB69-23CF-44E3-9099-C40C66FF867C}">
                  <a14:compatExt spid="_x0000_s43009"/>
                </a:ext>
                <a:ext uri="{FF2B5EF4-FFF2-40B4-BE49-F238E27FC236}">
                  <a16:creationId xmlns:a16="http://schemas.microsoft.com/office/drawing/2014/main" id="{00000000-0008-0000-0A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7</xdr:col>
          <xdr:colOff>0</xdr:colOff>
          <xdr:row>10</xdr:row>
          <xdr:rowOff>19050</xdr:rowOff>
        </xdr:to>
        <xdr:sp macro="" textlink="">
          <xdr:nvSpPr>
            <xdr:cNvPr id="43010" name="Drop Down 2" hidden="1">
              <a:extLst>
                <a:ext uri="{63B3BB69-23CF-44E3-9099-C40C66FF867C}">
                  <a14:compatExt spid="_x0000_s43010"/>
                </a:ext>
                <a:ext uri="{FF2B5EF4-FFF2-40B4-BE49-F238E27FC236}">
                  <a16:creationId xmlns:a16="http://schemas.microsoft.com/office/drawing/2014/main" id="{00000000-0008-0000-0A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11</xdr:col>
          <xdr:colOff>57150</xdr:colOff>
          <xdr:row>11</xdr:row>
          <xdr:rowOff>0</xdr:rowOff>
        </xdr:to>
        <xdr:sp macro="" textlink="">
          <xdr:nvSpPr>
            <xdr:cNvPr id="43011" name="Drop Down 3" hidden="1">
              <a:extLst>
                <a:ext uri="{63B3BB69-23CF-44E3-9099-C40C66FF867C}">
                  <a14:compatExt spid="_x0000_s43011"/>
                </a:ext>
                <a:ext uri="{FF2B5EF4-FFF2-40B4-BE49-F238E27FC236}">
                  <a16:creationId xmlns:a16="http://schemas.microsoft.com/office/drawing/2014/main" id="{00000000-0008-0000-0A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3012" name="Drop Down 4" hidden="1">
              <a:extLst>
                <a:ext uri="{63B3BB69-23CF-44E3-9099-C40C66FF867C}">
                  <a14:compatExt spid="_x0000_s43012"/>
                </a:ext>
                <a:ext uri="{FF2B5EF4-FFF2-40B4-BE49-F238E27FC236}">
                  <a16:creationId xmlns:a16="http://schemas.microsoft.com/office/drawing/2014/main" id="{00000000-0008-0000-0A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5</xdr:col>
          <xdr:colOff>0</xdr:colOff>
          <xdr:row>24</xdr:row>
          <xdr:rowOff>180975</xdr:rowOff>
        </xdr:to>
        <xdr:sp macro="" textlink="">
          <xdr:nvSpPr>
            <xdr:cNvPr id="43013" name="Drop Down 5" hidden="1">
              <a:extLst>
                <a:ext uri="{63B3BB69-23CF-44E3-9099-C40C66FF867C}">
                  <a14:compatExt spid="_x0000_s43013"/>
                </a:ext>
                <a:ext uri="{FF2B5EF4-FFF2-40B4-BE49-F238E27FC236}">
                  <a16:creationId xmlns:a16="http://schemas.microsoft.com/office/drawing/2014/main" id="{00000000-0008-0000-0A00-00000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7</xdr:col>
          <xdr:colOff>0</xdr:colOff>
          <xdr:row>23</xdr:row>
          <xdr:rowOff>0</xdr:rowOff>
        </xdr:to>
        <xdr:sp macro="" textlink="">
          <xdr:nvSpPr>
            <xdr:cNvPr id="43014" name="Drop Down 6" hidden="1">
              <a:extLst>
                <a:ext uri="{63B3BB69-23CF-44E3-9099-C40C66FF867C}">
                  <a14:compatExt spid="_x0000_s43014"/>
                </a:ext>
                <a:ext uri="{FF2B5EF4-FFF2-40B4-BE49-F238E27FC236}">
                  <a16:creationId xmlns:a16="http://schemas.microsoft.com/office/drawing/2014/main" id="{00000000-0008-0000-0A00-000006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7</xdr:col>
          <xdr:colOff>9525</xdr:colOff>
          <xdr:row>26</xdr:row>
          <xdr:rowOff>0</xdr:rowOff>
        </xdr:to>
        <xdr:sp macro="" textlink="">
          <xdr:nvSpPr>
            <xdr:cNvPr id="43015" name="Drop Down 7" hidden="1">
              <a:extLst>
                <a:ext uri="{63B3BB69-23CF-44E3-9099-C40C66FF867C}">
                  <a14:compatExt spid="_x0000_s43015"/>
                </a:ext>
                <a:ext uri="{FF2B5EF4-FFF2-40B4-BE49-F238E27FC236}">
                  <a16:creationId xmlns:a16="http://schemas.microsoft.com/office/drawing/2014/main" id="{00000000-0008-0000-0A00-000007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0</xdr:colOff>
          <xdr:row>20</xdr:row>
          <xdr:rowOff>0</xdr:rowOff>
        </xdr:to>
        <xdr:sp macro="" textlink="">
          <xdr:nvSpPr>
            <xdr:cNvPr id="43016" name="Drop Down 8" hidden="1">
              <a:extLst>
                <a:ext uri="{63B3BB69-23CF-44E3-9099-C40C66FF867C}">
                  <a14:compatExt spid="_x0000_s43016"/>
                </a:ext>
                <a:ext uri="{FF2B5EF4-FFF2-40B4-BE49-F238E27FC236}">
                  <a16:creationId xmlns:a16="http://schemas.microsoft.com/office/drawing/2014/main" id="{00000000-0008-0000-0A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0</xdr:rowOff>
        </xdr:from>
        <xdr:to>
          <xdr:col>11</xdr:col>
          <xdr:colOff>66675</xdr:colOff>
          <xdr:row>15</xdr:row>
          <xdr:rowOff>0</xdr:rowOff>
        </xdr:to>
        <xdr:sp macro="" textlink="">
          <xdr:nvSpPr>
            <xdr:cNvPr id="43017" name="Drop Down 9" hidden="1">
              <a:extLst>
                <a:ext uri="{63B3BB69-23CF-44E3-9099-C40C66FF867C}">
                  <a14:compatExt spid="_x0000_s43017"/>
                </a:ext>
                <a:ext uri="{FF2B5EF4-FFF2-40B4-BE49-F238E27FC236}">
                  <a16:creationId xmlns:a16="http://schemas.microsoft.com/office/drawing/2014/main" id="{00000000-0008-0000-0A00-000009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5819775" y="19916776"/>
          <a:ext cx="160972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3267076" y="18764249"/>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3267075" y="2166937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Input ReBar</a:t>
          </a:r>
          <a:r>
            <a:rPr lang="en-US" sz="1100" baseline="0">
              <a:solidFill>
                <a:schemeClr val="dk1"/>
              </a:solidFill>
              <a:effectLst/>
              <a:latin typeface="+mn-lt"/>
              <a:ea typeface="+mn-ea"/>
              <a:cs typeface="+mn-cs"/>
            </a:rPr>
            <a:t>  Size Specified in plans.</a:t>
          </a:r>
          <a:endParaRPr lang="en-US">
            <a:effectLst/>
          </a:endParaRPr>
        </a:p>
        <a:p>
          <a:r>
            <a:rPr lang="en-US" sz="1100" baseline="0">
              <a:solidFill>
                <a:schemeClr val="dk1"/>
              </a:solidFill>
              <a:effectLst/>
              <a:latin typeface="+mn-lt"/>
              <a:ea typeface="+mn-ea"/>
              <a:cs typeface="+mn-cs"/>
            </a:rPr>
            <a:t>Rebar Length is assumed to be 20'.</a:t>
          </a:r>
          <a:endParaRPr lang="en-US">
            <a:effectLst/>
          </a:endParaRPr>
        </a:p>
        <a:p>
          <a:r>
            <a:rPr lang="en-US" sz="1100" baseline="0">
              <a:solidFill>
                <a:schemeClr val="dk1"/>
              </a:solidFill>
              <a:effectLst/>
              <a:latin typeface="+mn-lt"/>
              <a:ea typeface="+mn-ea"/>
              <a:cs typeface="+mn-cs"/>
            </a:rPr>
            <a:t>Output is number of sticks at that length.</a:t>
          </a:r>
          <a:endParaRPr lang="en-US">
            <a:effectLst/>
          </a:endParaRPr>
        </a:p>
      </xdr:txBody>
    </xdr:sp>
    <xdr:clientData/>
  </xdr:twoCellAnchor>
  <xdr:twoCellAnchor>
    <xdr:from>
      <xdr:col>3</xdr:col>
      <xdr:colOff>0</xdr:colOff>
      <xdr:row>15</xdr:row>
      <xdr:rowOff>0</xdr:rowOff>
    </xdr:from>
    <xdr:to>
      <xdr:col>5</xdr:col>
      <xdr:colOff>0</xdr:colOff>
      <xdr:row>16</xdr:row>
      <xdr:rowOff>192699</xdr:rowOff>
    </xdr:to>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1828800" y="2952750"/>
          <a:ext cx="838200" cy="392724"/>
        </a:xfrm>
        <a:prstGeom prst="rect">
          <a:avLst/>
        </a:prstGeom>
        <a:solidFill>
          <a:schemeClr val="tx2">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GlobalBlock Corner Choice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190500</xdr:rowOff>
        </xdr:from>
        <xdr:to>
          <xdr:col>5</xdr:col>
          <xdr:colOff>0</xdr:colOff>
          <xdr:row>21</xdr:row>
          <xdr:rowOff>190500</xdr:rowOff>
        </xdr:to>
        <xdr:sp macro="" textlink="">
          <xdr:nvSpPr>
            <xdr:cNvPr id="43030" name="Drop Down 22" hidden="1">
              <a:extLst>
                <a:ext uri="{63B3BB69-23CF-44E3-9099-C40C66FF867C}">
                  <a14:compatExt spid="_x0000_s43030"/>
                </a:ext>
                <a:ext uri="{FF2B5EF4-FFF2-40B4-BE49-F238E27FC236}">
                  <a16:creationId xmlns:a16="http://schemas.microsoft.com/office/drawing/2014/main" id="{00000000-0008-0000-0A00-000016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190500</xdr:rowOff>
        </xdr:from>
        <xdr:to>
          <xdr:col>5</xdr:col>
          <xdr:colOff>161925</xdr:colOff>
          <xdr:row>18</xdr:row>
          <xdr:rowOff>0</xdr:rowOff>
        </xdr:to>
        <xdr:sp macro="" textlink="">
          <xdr:nvSpPr>
            <xdr:cNvPr id="43031" name="Option Button 23" hidden="1">
              <a:extLst>
                <a:ext uri="{63B3BB69-23CF-44E3-9099-C40C66FF867C}">
                  <a14:compatExt spid="_x0000_s43031"/>
                </a:ext>
                <a:ext uri="{FF2B5EF4-FFF2-40B4-BE49-F238E27FC236}">
                  <a16:creationId xmlns:a16="http://schemas.microsoft.com/office/drawing/2014/main" id="{00000000-0008-0000-0A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GlobalBlock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5</xdr:col>
          <xdr:colOff>161925</xdr:colOff>
          <xdr:row>19</xdr:row>
          <xdr:rowOff>9525</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A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BuildBlock</a:t>
              </a:r>
            </a:p>
          </xdr:txBody>
        </xdr:sp>
        <xdr:clientData fLocksWithSheet="0"/>
      </xdr:twoCellAnchor>
    </mc:Choice>
    <mc:Fallback/>
  </mc:AlternateContent>
  <xdr:twoCellAnchor>
    <xdr:from>
      <xdr:col>9</xdr:col>
      <xdr:colOff>0</xdr:colOff>
      <xdr:row>100</xdr:row>
      <xdr:rowOff>19051</xdr:rowOff>
    </xdr:from>
    <xdr:to>
      <xdr:col>11</xdr:col>
      <xdr:colOff>0</xdr:colOff>
      <xdr:row>105</xdr:row>
      <xdr:rowOff>19051</xdr:rowOff>
    </xdr:to>
    <xdr:sp macro="" textlink="">
      <xdr:nvSpPr>
        <xdr:cNvPr id="20" name="TextBox 19">
          <a:extLst>
            <a:ext uri="{FF2B5EF4-FFF2-40B4-BE49-F238E27FC236}">
              <a16:creationId xmlns:a16="http://schemas.microsoft.com/office/drawing/2014/main" id="{00000000-0008-0000-0A00-000014000000}"/>
            </a:ext>
          </a:extLst>
        </xdr:cNvPr>
        <xdr:cNvSpPr txBox="1"/>
      </xdr:nvSpPr>
      <xdr:spPr>
        <a:xfrm>
          <a:off x="5829300" y="19945351"/>
          <a:ext cx="1552575" cy="96202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Vertical Steel is calculated using only</a:t>
          </a:r>
          <a:r>
            <a:rPr lang="en-US" sz="1100" baseline="0"/>
            <a:t> </a:t>
          </a:r>
          <a:r>
            <a:rPr lang="en-US" sz="1100"/>
            <a:t>full length</a:t>
          </a:r>
          <a:r>
            <a:rPr lang="en-US" sz="1100" baseline="0"/>
            <a:t> pieces. Splices will not be accounted for.</a:t>
          </a:r>
          <a:endParaRPr lang="en-US" sz="1100"/>
        </a:p>
      </xdr:txBody>
    </xdr:sp>
    <xdr:clientData/>
  </xdr:twoCellAnchor>
  <xdr:twoCellAnchor>
    <xdr:from>
      <xdr:col>6</xdr:col>
      <xdr:colOff>19051</xdr:colOff>
      <xdr:row>94</xdr:row>
      <xdr:rowOff>19049</xdr:rowOff>
    </xdr:from>
    <xdr:to>
      <xdr:col>8</xdr:col>
      <xdr:colOff>9524</xdr:colOff>
      <xdr:row>104</xdr:row>
      <xdr:rowOff>190499</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3276601" y="18792824"/>
          <a:ext cx="1514473" cy="208597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 calculates</a:t>
          </a:r>
          <a:r>
            <a:rPr lang="en-US" sz="1100" baseline="0"/>
            <a:t> the Cold Joint Pins.  These are installed in the footing and extend into the core of the ICF to eliminate structural issues with Cold Joints.</a:t>
          </a:r>
        </a:p>
        <a:p>
          <a:r>
            <a:rPr lang="en-US" sz="1100" baseline="0"/>
            <a:t>Please input the specs and it will estimate the number of sticks.</a:t>
          </a:r>
          <a:endParaRPr lang="en-US" sz="1100"/>
        </a:p>
      </xdr:txBody>
    </xdr:sp>
    <xdr:clientData/>
  </xdr:twoCellAnchor>
  <xdr:twoCellAnchor>
    <xdr:from>
      <xdr:col>6</xdr:col>
      <xdr:colOff>19050</xdr:colOff>
      <xdr:row>108</xdr:row>
      <xdr:rowOff>19050</xdr:rowOff>
    </xdr:from>
    <xdr:to>
      <xdr:col>7</xdr:col>
      <xdr:colOff>704850</xdr:colOff>
      <xdr:row>117</xdr:row>
      <xdr:rowOff>190499</xdr:rowOff>
    </xdr:to>
    <xdr:sp macro="" textlink="">
      <xdr:nvSpPr>
        <xdr:cNvPr id="22" name="TextBox 21">
          <a:extLst>
            <a:ext uri="{FF2B5EF4-FFF2-40B4-BE49-F238E27FC236}">
              <a16:creationId xmlns:a16="http://schemas.microsoft.com/office/drawing/2014/main" id="{00000000-0008-0000-0A00-000016000000}"/>
            </a:ext>
          </a:extLst>
        </xdr:cNvPr>
        <xdr:cNvSpPr txBox="1"/>
      </xdr:nvSpPr>
      <xdr:spPr>
        <a:xfrm>
          <a:off x="3276600" y="21497925"/>
          <a:ext cx="1495425" cy="190499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Input ReBar</a:t>
          </a:r>
          <a:r>
            <a:rPr lang="en-US" sz="1100" baseline="0"/>
            <a:t>  Size Specified in plans.</a:t>
          </a:r>
        </a:p>
        <a:p>
          <a:r>
            <a:rPr lang="en-US" sz="1100" baseline="0"/>
            <a:t>Rebar Length is assumed to be 20'.</a:t>
          </a:r>
        </a:p>
        <a:p>
          <a:r>
            <a:rPr lang="en-US" sz="1100" baseline="0"/>
            <a:t>Output is number of sticks at that length.</a:t>
          </a:r>
          <a:endParaRPr lang="en-US" sz="1100"/>
        </a:p>
      </xdr:txBody>
    </xdr:sp>
    <xdr:clientData/>
  </xdr:twoCellAnchor>
  <xdr:twoCellAnchor editAs="oneCell">
    <xdr:from>
      <xdr:col>2</xdr:col>
      <xdr:colOff>352425</xdr:colOff>
      <xdr:row>0</xdr:row>
      <xdr:rowOff>38100</xdr:rowOff>
    </xdr:from>
    <xdr:to>
      <xdr:col>8</xdr:col>
      <xdr:colOff>944205</xdr:colOff>
      <xdr:row>4</xdr:row>
      <xdr:rowOff>104775</xdr:rowOff>
    </xdr:to>
    <xdr:pic>
      <xdr:nvPicPr>
        <xdr:cNvPr id="23" name="Picture 22" descr="Jpeg LOGO.JPG">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1" cstate="print"/>
        <a:stretch>
          <a:fillRect/>
        </a:stretch>
      </xdr:blipFill>
      <xdr:spPr>
        <a:xfrm>
          <a:off x="1457325" y="38100"/>
          <a:ext cx="4268430" cy="828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10</xdr:row>
      <xdr:rowOff>8659</xdr:rowOff>
    </xdr:from>
    <xdr:to>
      <xdr:col>2</xdr:col>
      <xdr:colOff>600075</xdr:colOff>
      <xdr:row>14</xdr:row>
      <xdr:rowOff>171449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15661" y="1991591"/>
          <a:ext cx="1196687" cy="9334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Note:  Max Height of gable for</a:t>
          </a:r>
          <a:r>
            <a:rPr lang="en-US" sz="1100" baseline="0"/>
            <a:t> this calculator is 24'</a:t>
          </a:r>
          <a:endParaRPr lang="en-US" sz="1100"/>
        </a:p>
      </xdr:txBody>
    </xdr:sp>
    <xdr:clientData/>
  </xdr:twoCellAnchor>
  <xdr:oneCellAnchor>
    <xdr:from>
      <xdr:col>5</xdr:col>
      <xdr:colOff>28575</xdr:colOff>
      <xdr:row>3</xdr:row>
      <xdr:rowOff>26843</xdr:rowOff>
    </xdr:from>
    <xdr:ext cx="4117397" cy="3649807"/>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7905750" y="665018"/>
          <a:ext cx="4117397" cy="3649807"/>
        </a:xfrm>
        <a:prstGeom prst="rect">
          <a:avLst/>
        </a:prstGeom>
        <a:solidFill>
          <a:schemeClr val="bg2">
            <a:lumMod val="90000"/>
          </a:schemeClr>
        </a:solidFill>
        <a:ln w="38100">
          <a:solidFill>
            <a:schemeClr val="bg2">
              <a:lumMod val="1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200"/>
            <a:t>How</a:t>
          </a:r>
          <a:r>
            <a:rPr lang="en-US" sz="1200" baseline="0"/>
            <a:t> to use this Gable Block Calculator:</a:t>
          </a:r>
        </a:p>
        <a:p>
          <a:pPr algn="l"/>
          <a:endParaRPr lang="en-US" sz="1200"/>
        </a:p>
        <a:p>
          <a:pPr algn="l"/>
          <a:r>
            <a:rPr lang="en-US" sz="1200" b="1"/>
            <a:t>1. Input the pitch of the roof.</a:t>
          </a:r>
          <a:r>
            <a:rPr lang="en-US" sz="1200" b="1" baseline="0"/>
            <a:t>  X/12</a:t>
          </a:r>
        </a:p>
        <a:p>
          <a:pPr lvl="1" algn="l"/>
          <a:r>
            <a:rPr lang="en-US" sz="1000" i="1" baseline="0"/>
            <a:t>*If you do not know the pitch there is a pitch calculation tool on the lower left.  You can use the angle, or Width and Height.</a:t>
          </a:r>
        </a:p>
        <a:p>
          <a:pPr algn="l"/>
          <a:endParaRPr lang="en-US" sz="1200" b="1" baseline="0"/>
        </a:p>
        <a:p>
          <a:pPr algn="l"/>
          <a:r>
            <a:rPr lang="en-US" sz="1200" b="1" baseline="0"/>
            <a:t>2. Input the width of the walls at the base of the gable. (Header Plate)</a:t>
          </a:r>
        </a:p>
        <a:p>
          <a:pPr algn="l"/>
          <a:r>
            <a:rPr lang="en-US" sz="1200" b="1" baseline="0"/>
            <a:t>3. Take the number of blocks to add and add them to the level sheet with the appropriate size block.</a:t>
          </a:r>
        </a:p>
        <a:p>
          <a:pPr algn="l"/>
          <a:endParaRPr lang="en-US" sz="1200" i="1" baseline="0"/>
        </a:p>
        <a:p>
          <a:pPr algn="l"/>
          <a:r>
            <a:rPr lang="en-US" sz="1000" i="1" baseline="0"/>
            <a:t>*This calculator is unable to figure gables taller than 24'.</a:t>
          </a:r>
        </a:p>
        <a:p>
          <a:pPr algn="l"/>
          <a:r>
            <a:rPr lang="en-US" sz="1000" i="1" baseline="0"/>
            <a:t>*The estimate of block is slightly higher than the square foot method, as it accounts for cuts and waste.  It will round up each course to the nearest half block, and the total to the nearest block.</a:t>
          </a:r>
        </a:p>
        <a:p>
          <a:pPr algn="l"/>
          <a:r>
            <a:rPr lang="en-US" sz="1000" i="1" baseline="0"/>
            <a:t>*For multiple gables, simply input new variables and add to previous block count.</a:t>
          </a:r>
          <a:endParaRPr lang="en-US" sz="1000" i="1"/>
        </a:p>
      </xdr:txBody>
    </xdr:sp>
    <xdr:clientData/>
  </xdr:oneCellAnchor>
  <xdr:twoCellAnchor>
    <xdr:from>
      <xdr:col>13</xdr:col>
      <xdr:colOff>17318</xdr:colOff>
      <xdr:row>14</xdr:row>
      <xdr:rowOff>8659</xdr:rowOff>
    </xdr:from>
    <xdr:to>
      <xdr:col>14</xdr:col>
      <xdr:colOff>1091046</xdr:colOff>
      <xdr:row>30</xdr:row>
      <xdr:rowOff>173182</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9550977" y="2779568"/>
          <a:ext cx="2234046" cy="3255819"/>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Zont Bracing Calculator:</a:t>
          </a:r>
        </a:p>
        <a:p>
          <a:endParaRPr lang="en-US" sz="1100" b="1"/>
        </a:p>
        <a:p>
          <a:r>
            <a:rPr lang="en-US" sz="1100" b="1"/>
            <a:t>1. Input total wall length.</a:t>
          </a:r>
        </a:p>
        <a:p>
          <a:endParaRPr lang="en-US" sz="1100" b="1"/>
        </a:p>
        <a:p>
          <a:r>
            <a:rPr lang="en-US" sz="1100" b="1"/>
            <a:t>2. Input number of corners.</a:t>
          </a:r>
        </a:p>
        <a:p>
          <a:r>
            <a:rPr lang="en-US" sz="900" b="0" i="1" baseline="0"/>
            <a:t>     *each corner requires 2 braces.</a:t>
          </a:r>
        </a:p>
        <a:p>
          <a:endParaRPr lang="en-US" sz="1100" b="1"/>
        </a:p>
        <a:p>
          <a:r>
            <a:rPr lang="en-US" sz="1100" b="1"/>
            <a:t>3. Input the wall height, up to 14'</a:t>
          </a:r>
        </a:p>
        <a:p>
          <a:endParaRPr lang="en-US" sz="1100" b="1"/>
        </a:p>
        <a:p>
          <a:r>
            <a:rPr lang="en-US" sz="1100" b="1"/>
            <a:t>The  parts you need are automatically calculated.</a:t>
          </a:r>
        </a:p>
      </xdr:txBody>
    </xdr:sp>
    <xdr:clientData/>
  </xdr:twoCellAnchor>
  <xdr:twoCellAnchor>
    <xdr:from>
      <xdr:col>9</xdr:col>
      <xdr:colOff>597477</xdr:colOff>
      <xdr:row>22</xdr:row>
      <xdr:rowOff>8660</xdr:rowOff>
    </xdr:from>
    <xdr:to>
      <xdr:col>13</xdr:col>
      <xdr:colOff>0</xdr:colOff>
      <xdr:row>30</xdr:row>
      <xdr:rowOff>190500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7187045" y="4329546"/>
          <a:ext cx="2346614" cy="1723159"/>
        </a:xfrm>
        <a:prstGeom prst="rect">
          <a:avLst/>
        </a:prstGeom>
        <a:solidFill>
          <a:schemeClr val="tx2">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a:solidFill>
                <a:schemeClr val="dk1"/>
              </a:solidFill>
              <a:latin typeface="+mn-lt"/>
              <a:ea typeface="+mn-ea"/>
              <a:cs typeface="+mn-cs"/>
            </a:rPr>
            <a:t>Zonts™ support 2x4 walers and strongbacks against the ICF wall thereby flattening the wall horizontally and vertically. Their 10 gauge thickness and galvanized finish guarantee long life.</a:t>
          </a:r>
        </a:p>
        <a:p>
          <a:r>
            <a:rPr lang="en-US">
              <a:hlinkClick xmlns:r="http://schemas.openxmlformats.org/officeDocument/2006/relationships" r:id=""/>
            </a:rPr>
            <a:t>http://www.fab-form.com/zontBracing/zontBracingOverview.php</a:t>
          </a:r>
          <a:endParaRPr lang="en-US" sz="1100"/>
        </a:p>
      </xdr:txBody>
    </xdr:sp>
    <xdr:clientData/>
  </xdr:twoCellAnchor>
  <mc:AlternateContent xmlns:mc="http://schemas.openxmlformats.org/markup-compatibility/2006">
    <mc:Choice xmlns:a14="http://schemas.microsoft.com/office/drawing/2010/main" Requires="a14">
      <xdr:twoCellAnchor>
        <xdr:from>
          <xdr:col>13</xdr:col>
          <xdr:colOff>990600</xdr:colOff>
          <xdr:row>4</xdr:row>
          <xdr:rowOff>9525</xdr:rowOff>
        </xdr:from>
        <xdr:to>
          <xdr:col>14</xdr:col>
          <xdr:colOff>9525</xdr:colOff>
          <xdr:row>4</xdr:row>
          <xdr:rowOff>180975</xdr:rowOff>
        </xdr:to>
        <xdr:sp macro="" textlink="">
          <xdr:nvSpPr>
            <xdr:cNvPr id="38917" name="Spinner 5" hidden="1">
              <a:extLst>
                <a:ext uri="{63B3BB69-23CF-44E3-9099-C40C66FF867C}">
                  <a14:compatExt spid="_x0000_s38917"/>
                </a:ext>
                <a:ext uri="{FF2B5EF4-FFF2-40B4-BE49-F238E27FC236}">
                  <a16:creationId xmlns:a16="http://schemas.microsoft.com/office/drawing/2014/main" id="{00000000-0008-0000-0D00-000005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3</xdr:row>
          <xdr:rowOff>180975</xdr:rowOff>
        </xdr:from>
        <xdr:to>
          <xdr:col>15</xdr:col>
          <xdr:colOff>0</xdr:colOff>
          <xdr:row>4</xdr:row>
          <xdr:rowOff>180975</xdr:rowOff>
        </xdr:to>
        <xdr:sp macro="" textlink="">
          <xdr:nvSpPr>
            <xdr:cNvPr id="38918" name="Spinner 6" hidden="1">
              <a:extLst>
                <a:ext uri="{63B3BB69-23CF-44E3-9099-C40C66FF867C}">
                  <a14:compatExt spid="_x0000_s38918"/>
                </a:ext>
                <a:ext uri="{FF2B5EF4-FFF2-40B4-BE49-F238E27FC236}">
                  <a16:creationId xmlns:a16="http://schemas.microsoft.com/office/drawing/2014/main" id="{00000000-0008-0000-0D00-000006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990600</xdr:colOff>
          <xdr:row>6</xdr:row>
          <xdr:rowOff>9525</xdr:rowOff>
        </xdr:from>
        <xdr:to>
          <xdr:col>14</xdr:col>
          <xdr:colOff>9525</xdr:colOff>
          <xdr:row>6</xdr:row>
          <xdr:rowOff>180975</xdr:rowOff>
        </xdr:to>
        <xdr:sp macro="" textlink="">
          <xdr:nvSpPr>
            <xdr:cNvPr id="38919" name="Spinner 7" hidden="1">
              <a:extLst>
                <a:ext uri="{63B3BB69-23CF-44E3-9099-C40C66FF867C}">
                  <a14:compatExt spid="_x0000_s38919"/>
                </a:ext>
                <a:ext uri="{FF2B5EF4-FFF2-40B4-BE49-F238E27FC236}">
                  <a16:creationId xmlns:a16="http://schemas.microsoft.com/office/drawing/2014/main" id="{00000000-0008-0000-0D00-000007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866775</xdr:colOff>
          <xdr:row>6</xdr:row>
          <xdr:rowOff>9525</xdr:rowOff>
        </xdr:from>
        <xdr:to>
          <xdr:col>14</xdr:col>
          <xdr:colOff>1085850</xdr:colOff>
          <xdr:row>7</xdr:row>
          <xdr:rowOff>9525</xdr:rowOff>
        </xdr:to>
        <xdr:sp macro="" textlink="">
          <xdr:nvSpPr>
            <xdr:cNvPr id="38920" name="Spinner 8" hidden="1">
              <a:extLst>
                <a:ext uri="{63B3BB69-23CF-44E3-9099-C40C66FF867C}">
                  <a14:compatExt spid="_x0000_s38920"/>
                </a:ext>
                <a:ext uri="{FF2B5EF4-FFF2-40B4-BE49-F238E27FC236}">
                  <a16:creationId xmlns:a16="http://schemas.microsoft.com/office/drawing/2014/main" id="{00000000-0008-0000-0D00-000008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1152525</xdr:colOff>
          <xdr:row>5</xdr:row>
          <xdr:rowOff>180975</xdr:rowOff>
        </xdr:from>
        <xdr:to>
          <xdr:col>15</xdr:col>
          <xdr:colOff>1314450</xdr:colOff>
          <xdr:row>6</xdr:row>
          <xdr:rowOff>180975</xdr:rowOff>
        </xdr:to>
        <xdr:sp macro="" textlink="">
          <xdr:nvSpPr>
            <xdr:cNvPr id="38921" name="Spinner 9" hidden="1">
              <a:extLst>
                <a:ext uri="{63B3BB69-23CF-44E3-9099-C40C66FF867C}">
                  <a14:compatExt spid="_x0000_s38921"/>
                </a:ext>
                <a:ext uri="{FF2B5EF4-FFF2-40B4-BE49-F238E27FC236}">
                  <a16:creationId xmlns:a16="http://schemas.microsoft.com/office/drawing/2014/main" id="{00000000-0008-0000-0D00-000009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95249</xdr:colOff>
      <xdr:row>37</xdr:row>
      <xdr:rowOff>150143</xdr:rowOff>
    </xdr:from>
    <xdr:to>
      <xdr:col>6</xdr:col>
      <xdr:colOff>41130</xdr:colOff>
      <xdr:row>47</xdr:row>
      <xdr:rowOff>32920</xdr:rowOff>
    </xdr:to>
    <xdr:pic>
      <xdr:nvPicPr>
        <xdr:cNvPr id="12" name="Picture 11" descr="http://www.1728.org/circpart.gif">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3090" y="7389143"/>
          <a:ext cx="4823115" cy="1796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xdr:colOff>
      <xdr:row>63</xdr:row>
      <xdr:rowOff>199158</xdr:rowOff>
    </xdr:from>
    <xdr:to>
      <xdr:col>4</xdr:col>
      <xdr:colOff>0</xdr:colOff>
      <xdr:row>68</xdr:row>
      <xdr:rowOff>1</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8743952" y="1808883"/>
          <a:ext cx="4333873" cy="78191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the charts to</a:t>
          </a:r>
          <a:r>
            <a:rPr lang="en-US" sz="1100" baseline="0"/>
            <a:t> the right to determine the spacing for your ICFVL brackets based on the joist span. Determine the linela feet of bearing and the lineal feet of sidewall by adding the lengths of the walls.  Then add the numbr of corners.</a:t>
          </a:r>
          <a:endParaRPr lang="en-US" sz="1100"/>
        </a:p>
      </xdr:txBody>
    </xdr:sp>
    <xdr:clientData/>
  </xdr:twoCellAnchor>
  <xdr:twoCellAnchor editAs="oneCell">
    <xdr:from>
      <xdr:col>8</xdr:col>
      <xdr:colOff>38100</xdr:colOff>
      <xdr:row>86</xdr:row>
      <xdr:rowOff>47625</xdr:rowOff>
    </xdr:from>
    <xdr:to>
      <xdr:col>10</xdr:col>
      <xdr:colOff>1039741</xdr:colOff>
      <xdr:row>117</xdr:row>
      <xdr:rowOff>65563</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01375" y="16811625"/>
          <a:ext cx="3201916" cy="59234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9526</xdr:colOff>
      <xdr:row>5</xdr:row>
      <xdr:rowOff>9525</xdr:rowOff>
    </xdr:from>
    <xdr:to>
      <xdr:col>8</xdr:col>
      <xdr:colOff>9525</xdr:colOff>
      <xdr:row>9</xdr:row>
      <xdr:rowOff>180975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19126" y="962025"/>
          <a:ext cx="1171574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calculator provides for a starter</a:t>
          </a:r>
          <a:r>
            <a:rPr lang="en-US" sz="1100" baseline="0"/>
            <a:t> web on the first course, as well as substituting a starter web at thetop course for a standard web.  It also figures webs for each slot to ensure correct spacing for drywall and siding attachments.  The cartons of standard webs should be 1:1 with the bundles. Note: 6" Straight Forms use 48 webs per bundle, where 6" Corner Forms use 60 webs per bundle.  4" forms only use 60 webs per bundle.</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39</xdr:row>
          <xdr:rowOff>123825</xdr:rowOff>
        </xdr:from>
        <xdr:to>
          <xdr:col>1</xdr:col>
          <xdr:colOff>609600</xdr:colOff>
          <xdr:row>41</xdr:row>
          <xdr:rowOff>114300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E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152400</xdr:rowOff>
        </xdr:from>
        <xdr:to>
          <xdr:col>3</xdr:col>
          <xdr:colOff>438150</xdr:colOff>
          <xdr:row>41</xdr:row>
          <xdr:rowOff>85725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E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39</xdr:row>
          <xdr:rowOff>161925</xdr:rowOff>
        </xdr:from>
        <xdr:to>
          <xdr:col>5</xdr:col>
          <xdr:colOff>1028700</xdr:colOff>
          <xdr:row>41</xdr:row>
          <xdr:rowOff>104775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E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67</xdr:row>
          <xdr:rowOff>123825</xdr:rowOff>
        </xdr:from>
        <xdr:to>
          <xdr:col>1</xdr:col>
          <xdr:colOff>609600</xdr:colOff>
          <xdr:row>69</xdr:row>
          <xdr:rowOff>152400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E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67</xdr:row>
          <xdr:rowOff>152400</xdr:rowOff>
        </xdr:from>
        <xdr:to>
          <xdr:col>3</xdr:col>
          <xdr:colOff>438150</xdr:colOff>
          <xdr:row>69</xdr:row>
          <xdr:rowOff>123825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E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67</xdr:row>
          <xdr:rowOff>161925</xdr:rowOff>
        </xdr:from>
        <xdr:to>
          <xdr:col>5</xdr:col>
          <xdr:colOff>1028700</xdr:colOff>
          <xdr:row>69</xdr:row>
          <xdr:rowOff>142875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E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kerfoot\AppData\Local\Microsoft\Windows\Temporary%20Internet%20Files\Content.Outlook\KNEP14SE\Contractor%20StuccoMax%20%20Estimator%204%2030%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kerfoot\AppData\Local\Microsoft\Windows\Temporary%20Internet%20Files\Content.Outlook\KNEP14SE\Contractor%20PlasterMax%20%20Estimator%204%203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v>0</v>
          </cell>
        </row>
        <row r="2">
          <cell r="A2">
            <v>0.01</v>
          </cell>
        </row>
        <row r="3">
          <cell r="A3">
            <v>0.02</v>
          </cell>
        </row>
        <row r="4">
          <cell r="A4">
            <v>0.03</v>
          </cell>
        </row>
        <row r="5">
          <cell r="A5">
            <v>0.04</v>
          </cell>
        </row>
        <row r="6">
          <cell r="A6">
            <v>0.05</v>
          </cell>
        </row>
        <row r="7">
          <cell r="A7">
            <v>0.06</v>
          </cell>
        </row>
        <row r="8">
          <cell r="A8">
            <v>7.0000000000000007E-2</v>
          </cell>
        </row>
        <row r="9">
          <cell r="A9">
            <v>0.08</v>
          </cell>
        </row>
        <row r="10">
          <cell r="A10">
            <v>0.09</v>
          </cell>
        </row>
        <row r="11">
          <cell r="A11">
            <v>0.1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v>0</v>
          </cell>
        </row>
        <row r="2">
          <cell r="A2">
            <v>0.01</v>
          </cell>
        </row>
        <row r="3">
          <cell r="A3">
            <v>0.02</v>
          </cell>
        </row>
        <row r="4">
          <cell r="A4">
            <v>0.03</v>
          </cell>
        </row>
        <row r="5">
          <cell r="A5">
            <v>0.04</v>
          </cell>
        </row>
        <row r="6">
          <cell r="A6">
            <v>0.05</v>
          </cell>
        </row>
        <row r="7">
          <cell r="A7">
            <v>0.06</v>
          </cell>
        </row>
        <row r="8">
          <cell r="A8">
            <v>7.0000000000000007E-2</v>
          </cell>
        </row>
        <row r="9">
          <cell r="A9">
            <v>0.08</v>
          </cell>
        </row>
        <row r="10">
          <cell r="A10">
            <v>0.09</v>
          </cell>
        </row>
        <row r="11">
          <cell r="A11">
            <v>0.1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V29:Y56" totalsRowCount="1" headerRowDxfId="165" dataDxfId="164" totalsRowDxfId="163">
  <tableColumns count="4">
    <tableColumn id="1" xr3:uid="{00000000-0010-0000-0000-000001000000}" name="Block Size" dataDxfId="162" totalsRowDxfId="161"/>
    <tableColumn id="2" xr3:uid="{00000000-0010-0000-0000-000002000000}" name="Number of Blocks" dataDxfId="160" totalsRowDxfId="159"/>
    <tableColumn id="3" xr3:uid="{00000000-0010-0000-0000-000003000000}" name="Concrete Volume" totalsRowFunction="custom" dataDxfId="158" totalsRowDxfId="157">
      <calculatedColumnFormula>W30*Y30</calculatedColumnFormula>
      <totalsRowFormula>SUM(Table4[Concrete Volume])</totalsRowFormula>
    </tableColumn>
    <tableColumn id="4" xr3:uid="{00000000-0010-0000-0000-000004000000}" name="Multiplier" dataDxfId="156" totalsRowDxfId="1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Y2:Z12" totalsRowShown="0" headerRowDxfId="154" dataDxfId="153">
  <autoFilter ref="Y2:Z12" xr:uid="{00000000-0009-0000-0100-000001000000}"/>
  <tableColumns count="2">
    <tableColumn id="1" xr3:uid="{00000000-0010-0000-0100-000001000000}" name="Name" dataDxfId="152"/>
    <tableColumn id="2" xr3:uid="{00000000-0010-0000-0100-000002000000}" name="Phone" dataDxfId="1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4" displayName="Table44" ref="V29:Y56" totalsRowCount="1" headerRowDxfId="150" dataDxfId="149" totalsRowDxfId="148">
  <tableColumns count="4">
    <tableColumn id="1" xr3:uid="{00000000-0010-0000-0200-000001000000}" name="Block Size" dataDxfId="147" totalsRowDxfId="146"/>
    <tableColumn id="2" xr3:uid="{00000000-0010-0000-0200-000002000000}" name="Number of Blocks" dataDxfId="145" totalsRowDxfId="144"/>
    <tableColumn id="3" xr3:uid="{00000000-0010-0000-0200-000003000000}" name="Concrete Volume" totalsRowFunction="custom" dataDxfId="143" totalsRowDxfId="142">
      <calculatedColumnFormula>W30*Y30</calculatedColumnFormula>
      <totalsRowFormula>SUM(Table44[Concrete Volume])</totalsRowFormula>
    </tableColumn>
    <tableColumn id="4" xr3:uid="{00000000-0010-0000-0200-000004000000}" name="Multiplier" dataDxfId="141" totalsRowDxfId="1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115" displayName="Table115" ref="Y2:Z10" totalsRowShown="0" headerRowDxfId="139" dataDxfId="138">
  <autoFilter ref="Y2:Z10" xr:uid="{00000000-0009-0000-0100-00000E000000}"/>
  <sortState ref="Y3:Z10">
    <sortCondition ref="Y2:Y10"/>
  </sortState>
  <tableColumns count="2">
    <tableColumn id="1" xr3:uid="{00000000-0010-0000-0300-000001000000}" name="Name" dataDxfId="137"/>
    <tableColumn id="2" xr3:uid="{00000000-0010-0000-0300-000002000000}" name="Phone" dataDxfId="13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46" displayName="Table46" ref="V29:Y56" totalsRowCount="1" headerRowDxfId="135" dataDxfId="134" totalsRowDxfId="133">
  <tableColumns count="4">
    <tableColumn id="1" xr3:uid="{00000000-0010-0000-0400-000001000000}" name="Block Size" dataDxfId="132" totalsRowDxfId="131"/>
    <tableColumn id="2" xr3:uid="{00000000-0010-0000-0400-000002000000}" name="Number of Blocks" dataDxfId="130" totalsRowDxfId="129"/>
    <tableColumn id="3" xr3:uid="{00000000-0010-0000-0400-000003000000}" name="Concrete Volume" totalsRowFunction="custom" dataDxfId="128" totalsRowDxfId="127">
      <calculatedColumnFormula>W30*Y30</calculatedColumnFormula>
      <totalsRowFormula>SUM(Table46[Concrete Volume])</totalsRowFormula>
    </tableColumn>
    <tableColumn id="4" xr3:uid="{00000000-0010-0000-0400-000004000000}" name="Multiplier" dataDxfId="126" totalsRowDxfId="1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117" displayName="Table117" ref="Y2:Z10" totalsRowShown="0" headerRowDxfId="124" dataDxfId="123">
  <autoFilter ref="Y2:Z10" xr:uid="{00000000-0009-0000-0100-000010000000}"/>
  <sortState ref="Y3:Z10">
    <sortCondition ref="Y2:Y10"/>
  </sortState>
  <tableColumns count="2">
    <tableColumn id="1" xr3:uid="{00000000-0010-0000-0500-000001000000}" name="Name" dataDxfId="122"/>
    <tableColumn id="2" xr3:uid="{00000000-0010-0000-0500-000002000000}" name="Phone" dataDxfId="1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47" displayName="Table47" ref="V29:Y56" totalsRowCount="1" headerRowDxfId="120" dataDxfId="119" totalsRowDxfId="118">
  <tableColumns count="4">
    <tableColumn id="1" xr3:uid="{00000000-0010-0000-0600-000001000000}" name="Block Size" dataDxfId="117" totalsRowDxfId="116"/>
    <tableColumn id="2" xr3:uid="{00000000-0010-0000-0600-000002000000}" name="Number of Blocks" dataDxfId="115" totalsRowDxfId="114"/>
    <tableColumn id="3" xr3:uid="{00000000-0010-0000-0600-000003000000}" name="Concrete Volume" totalsRowFunction="custom" dataDxfId="113" totalsRowDxfId="112">
      <calculatedColumnFormula>W30*Y30</calculatedColumnFormula>
      <totalsRowFormula>SUM(Table47[Concrete Volume])</totalsRowFormula>
    </tableColumn>
    <tableColumn id="4" xr3:uid="{00000000-0010-0000-0600-000004000000}" name="Multiplier" dataDxfId="111" totalsRowDxfId="1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118" displayName="Table118" ref="Y2:Z10" totalsRowShown="0" headerRowDxfId="109" dataDxfId="108">
  <autoFilter ref="Y2:Z10" xr:uid="{00000000-0009-0000-0100-000011000000}"/>
  <sortState ref="Y3:Z10">
    <sortCondition ref="Y2:Y10"/>
  </sortState>
  <tableColumns count="2">
    <tableColumn id="1" xr3:uid="{00000000-0010-0000-0700-000001000000}" name="Name" dataDxfId="107"/>
    <tableColumn id="2" xr3:uid="{00000000-0010-0000-0700-000002000000}" name="Phone" dataDxfId="10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48" displayName="Table48" ref="V29:Y56" totalsRowCount="1" headerRowDxfId="105" dataDxfId="104" totalsRowDxfId="103">
  <tableColumns count="4">
    <tableColumn id="1" xr3:uid="{00000000-0010-0000-0800-000001000000}" name="Block Size" dataDxfId="102" totalsRowDxfId="101"/>
    <tableColumn id="2" xr3:uid="{00000000-0010-0000-0800-000002000000}" name="Number of Blocks" dataDxfId="100" totalsRowDxfId="99"/>
    <tableColumn id="3" xr3:uid="{00000000-0010-0000-0800-000003000000}" name="Concrete Volume" totalsRowFunction="custom" dataDxfId="98" totalsRowDxfId="97">
      <calculatedColumnFormula>W30*Y30</calculatedColumnFormula>
      <totalsRowFormula>SUM(Table48[Concrete Volume])</totalsRowFormula>
    </tableColumn>
    <tableColumn id="4" xr3:uid="{00000000-0010-0000-0800-000004000000}" name="Multiplier" dataDxfId="96" totalsRowDxfId="9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19" displayName="Table119" ref="Y2:Z10" totalsRowShown="0" headerRowDxfId="94" dataDxfId="93">
  <autoFilter ref="Y2:Z10" xr:uid="{00000000-0009-0000-0100-000012000000}"/>
  <sortState ref="Y3:Z10">
    <sortCondition ref="Y2:Y10"/>
  </sortState>
  <tableColumns count="2">
    <tableColumn id="1" xr3:uid="{00000000-0010-0000-0900-000001000000}" name="Name" dataDxfId="92"/>
    <tableColumn id="2" xr3:uid="{00000000-0010-0000-0900-000002000000}" name="Phone" dataDxfId="9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49" displayName="Table49" ref="V29:Y56" totalsRowCount="1" headerRowDxfId="90" dataDxfId="89" totalsRowDxfId="88">
  <tableColumns count="4">
    <tableColumn id="1" xr3:uid="{00000000-0010-0000-0A00-000001000000}" name="Block Size" dataDxfId="87" totalsRowDxfId="86"/>
    <tableColumn id="2" xr3:uid="{00000000-0010-0000-0A00-000002000000}" name="Number of Blocks" dataDxfId="85" totalsRowDxfId="84"/>
    <tableColumn id="3" xr3:uid="{00000000-0010-0000-0A00-000003000000}" name="Concrete Volume" totalsRowFunction="custom" dataDxfId="83" totalsRowDxfId="82">
      <calculatedColumnFormula>W30*Y30</calculatedColumnFormula>
      <totalsRowFormula>SUM(Table49[Concrete Volume])</totalsRowFormula>
    </tableColumn>
    <tableColumn id="4" xr3:uid="{00000000-0010-0000-0A00-000004000000}" name="Multiplier" dataDxfId="81" totalsRowDxfId="8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20" displayName="Table120" ref="Y2:Z10" totalsRowShown="0" headerRowDxfId="79" dataDxfId="78">
  <autoFilter ref="Y2:Z10" xr:uid="{00000000-0009-0000-0100-000013000000}"/>
  <sortState ref="Y3:Z10">
    <sortCondition ref="Y2:Y10"/>
  </sortState>
  <tableColumns count="2">
    <tableColumn id="1" xr3:uid="{00000000-0010-0000-0B00-000001000000}" name="Name" dataDxfId="77"/>
    <tableColumn id="2" xr3:uid="{00000000-0010-0000-0B00-000002000000}" name="Phone" dataDxfId="7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410" displayName="Table410" ref="V29:Y56" totalsRowCount="1" headerRowDxfId="75" dataDxfId="74" totalsRowDxfId="73">
  <tableColumns count="4">
    <tableColumn id="1" xr3:uid="{00000000-0010-0000-0C00-000001000000}" name="Block Size" dataDxfId="72" totalsRowDxfId="71"/>
    <tableColumn id="2" xr3:uid="{00000000-0010-0000-0C00-000002000000}" name="Number of Blocks" dataDxfId="70" totalsRowDxfId="69"/>
    <tableColumn id="3" xr3:uid="{00000000-0010-0000-0C00-000003000000}" name="Concrete Volume" totalsRowFunction="custom" dataDxfId="68" totalsRowDxfId="67">
      <calculatedColumnFormula>W30*Y30</calculatedColumnFormula>
      <totalsRowFormula>SUM(Table410[Concrete Volume])</totalsRowFormula>
    </tableColumn>
    <tableColumn id="4" xr3:uid="{00000000-0010-0000-0C00-000004000000}" name="Multiplier" dataDxfId="66" totalsRowDxfId="6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D000000}" name="Table121" displayName="Table121" ref="Y2:Z10" totalsRowShown="0" headerRowDxfId="64" dataDxfId="63">
  <autoFilter ref="Y2:Z10" xr:uid="{00000000-0009-0000-0100-000014000000}"/>
  <sortState ref="Y3:Z10">
    <sortCondition ref="Y2:Y10"/>
  </sortState>
  <tableColumns count="2">
    <tableColumn id="1" xr3:uid="{00000000-0010-0000-0D00-000001000000}" name="Name" dataDxfId="62"/>
    <tableColumn id="2" xr3:uid="{00000000-0010-0000-0D00-000002000000}" name="Phone" dataDxfId="6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411" displayName="Table411" ref="V29:Y56" totalsRowCount="1" headerRowDxfId="60" dataDxfId="59" totalsRowDxfId="58">
  <tableColumns count="4">
    <tableColumn id="1" xr3:uid="{00000000-0010-0000-0E00-000001000000}" name="Block Size" dataDxfId="57" totalsRowDxfId="56"/>
    <tableColumn id="2" xr3:uid="{00000000-0010-0000-0E00-000002000000}" name="Number of Blocks" dataDxfId="55" totalsRowDxfId="54"/>
    <tableColumn id="3" xr3:uid="{00000000-0010-0000-0E00-000003000000}" name="Concrete Volume" totalsRowFunction="custom" dataDxfId="53" totalsRowDxfId="52">
      <calculatedColumnFormula>W30*Y30</calculatedColumnFormula>
      <totalsRowFormula>SUM(Table411[Concrete Volume])</totalsRowFormula>
    </tableColumn>
    <tableColumn id="4" xr3:uid="{00000000-0010-0000-0E00-000004000000}" name="Multiplier" dataDxfId="51" totalsRowDxfId="5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122" displayName="Table122" ref="Y2:Z10" totalsRowShown="0" headerRowDxfId="49" dataDxfId="48">
  <autoFilter ref="Y2:Z10" xr:uid="{00000000-0009-0000-0100-000015000000}"/>
  <sortState ref="Y3:Z10">
    <sortCondition ref="Y2:Y10"/>
  </sortState>
  <tableColumns count="2">
    <tableColumn id="1" xr3:uid="{00000000-0010-0000-0F00-000001000000}" name="Name" dataDxfId="47"/>
    <tableColumn id="2" xr3:uid="{00000000-0010-0000-0F00-000002000000}" name="Phone" dataDxfId="4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412" displayName="Table412" ref="V29:Y56" totalsRowCount="1" headerRowDxfId="45" dataDxfId="44" totalsRowDxfId="43">
  <tableColumns count="4">
    <tableColumn id="1" xr3:uid="{00000000-0010-0000-1000-000001000000}" name="Block Size" dataDxfId="42" totalsRowDxfId="41"/>
    <tableColumn id="2" xr3:uid="{00000000-0010-0000-1000-000002000000}" name="Number of Blocks" dataDxfId="40" totalsRowDxfId="39"/>
    <tableColumn id="3" xr3:uid="{00000000-0010-0000-1000-000003000000}" name="Concrete Volume" totalsRowFunction="custom" dataDxfId="38" totalsRowDxfId="37">
      <calculatedColumnFormula>W30*Y30</calculatedColumnFormula>
      <totalsRowFormula>SUM(Table412[Concrete Volume])</totalsRowFormula>
    </tableColumn>
    <tableColumn id="4" xr3:uid="{00000000-0010-0000-1000-000004000000}" name="Multiplier" dataDxfId="36" totalsRowDxfId="3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23" displayName="Table123" ref="Y2:Z10" totalsRowShown="0" headerRowDxfId="34" dataDxfId="33">
  <autoFilter ref="Y2:Z10" xr:uid="{00000000-0009-0000-0100-000016000000}"/>
  <sortState ref="Y3:Z10">
    <sortCondition ref="Y2:Y10"/>
  </sortState>
  <tableColumns count="2">
    <tableColumn id="1" xr3:uid="{00000000-0010-0000-1100-000001000000}" name="Name" dataDxfId="32"/>
    <tableColumn id="2" xr3:uid="{00000000-0010-0000-1100-000002000000}" name="Phone" dataDxfId="3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413" displayName="Table413" ref="V29:Y56" totalsRowCount="1" headerRowDxfId="30" dataDxfId="29" totalsRowDxfId="28">
  <tableColumns count="4">
    <tableColumn id="1" xr3:uid="{00000000-0010-0000-1200-000001000000}" name="Block Size" dataDxfId="27" totalsRowDxfId="26"/>
    <tableColumn id="2" xr3:uid="{00000000-0010-0000-1200-000002000000}" name="Number of Blocks" dataDxfId="25" totalsRowDxfId="24"/>
    <tableColumn id="3" xr3:uid="{00000000-0010-0000-1200-000003000000}" name="Concrete Volume" totalsRowFunction="custom" dataDxfId="23" totalsRowDxfId="22">
      <calculatedColumnFormula>W30*Y30</calculatedColumnFormula>
      <totalsRowFormula>SUM(Table413[Concrete Volume])</totalsRowFormula>
    </tableColumn>
    <tableColumn id="4" xr3:uid="{00000000-0010-0000-1200-000004000000}" name="Multiplier" dataDxfId="21" totalsRowDxfId="2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124" displayName="Table124" ref="Y2:Z10" totalsRowShown="0" headerRowDxfId="19" dataDxfId="18">
  <autoFilter ref="Y2:Z10" xr:uid="{00000000-0009-0000-0100-000017000000}"/>
  <sortState ref="Y3:Z10">
    <sortCondition ref="Y2:Y10"/>
  </sortState>
  <tableColumns count="2">
    <tableColumn id="1" xr3:uid="{00000000-0010-0000-1300-000001000000}" name="Name" dataDxfId="17"/>
    <tableColumn id="2" xr3:uid="{00000000-0010-0000-1300-000002000000}" name="Phone" dataDxfId="1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4000000}" name="Table14" displayName="Table14" ref="R38:Z43" totalsRowShown="0" headerRowDxfId="15" dataDxfId="14">
  <tableColumns count="9">
    <tableColumn id="1" xr3:uid="{00000000-0010-0000-1400-000001000000}" name="Block" dataDxfId="13"/>
    <tableColumn id="2" xr3:uid="{00000000-0010-0000-1400-000002000000}" name="los90" dataDxfId="12"/>
    <tableColumn id="3" xr3:uid="{00000000-0010-0000-1400-000003000000}" name="sos90" dataDxfId="11"/>
    <tableColumn id="4" xr3:uid="{00000000-0010-0000-1400-000004000000}" name="lis90" dataDxfId="10"/>
    <tableColumn id="5" xr3:uid="{00000000-0010-0000-1400-000005000000}" name="sis90" dataDxfId="9"/>
    <tableColumn id="7" xr3:uid="{00000000-0010-0000-1400-000007000000}" name="los45" dataDxfId="8"/>
    <tableColumn id="8" xr3:uid="{00000000-0010-0000-1400-000008000000}" name="sos45" dataDxfId="7"/>
    <tableColumn id="9" xr3:uid="{00000000-0010-0000-1400-000009000000}" name="lis45" dataDxfId="6"/>
    <tableColumn id="10" xr3:uid="{00000000-0010-0000-1400-00000A000000}" name="sis45" dataDxfId="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Table13" displayName="Table13" ref="N15:O31" totalsRowShown="0" headerRowDxfId="4" dataDxfId="3" tableBorderDxfId="2">
  <sortState ref="N16:O31">
    <sortCondition descending="1" ref="N16:N31"/>
  </sortState>
  <tableColumns count="2">
    <tableColumn id="1" xr3:uid="{00000000-0010-0000-1500-000001000000}" name="Wall Height" dataDxfId="1"/>
    <tableColumn id="2" xr3:uid="{00000000-0010-0000-1500-000002000000}" name="Vertical Zonts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table" Target="../tables/table1.xml"/><Relationship Id="rId7" Type="http://schemas.openxmlformats.org/officeDocument/2006/relationships/printerSettings" Target="../printerSettings/printerSettings2.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2.xml"/><Relationship Id="rId5" Type="http://schemas.openxmlformats.org/officeDocument/2006/relationships/hyperlink" Target="http://buildblock.com/technical/CAD_details.asp" TargetMode="External"/><Relationship Id="rId15" Type="http://schemas.openxmlformats.org/officeDocument/2006/relationships/ctrlProp" Target="../ctrlProps/ctrlProp6.xml"/><Relationship Id="rId23"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buildblock.com/builddeck/index.html"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omments" Target="../comments2.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23.xml"/><Relationship Id="rId7" Type="http://schemas.openxmlformats.org/officeDocument/2006/relationships/printerSettings" Target="../printerSettings/printerSettings3.bin"/><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table" Target="../tables/table4.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13.xml"/><Relationship Id="rId24" Type="http://schemas.openxmlformats.org/officeDocument/2006/relationships/table" Target="../tables/table3.xml"/><Relationship Id="rId5" Type="http://schemas.openxmlformats.org/officeDocument/2006/relationships/hyperlink" Target="http://buildblock.com/technical/CAD_details.asp" TargetMode="Externa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hyperlink" Target="http://buildblock.com/builddeck/index.html" TargetMode="External"/><Relationship Id="rId9" Type="http://schemas.openxmlformats.org/officeDocument/2006/relationships/vmlDrawing" Target="../drawings/vmlDrawing2.v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37.xml"/><Relationship Id="rId7" Type="http://schemas.openxmlformats.org/officeDocument/2006/relationships/printerSettings" Target="../printerSettings/printerSettings4.bin"/><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27.xml"/><Relationship Id="rId24" Type="http://schemas.openxmlformats.org/officeDocument/2006/relationships/comments" Target="../comments3.xml"/><Relationship Id="rId5" Type="http://schemas.openxmlformats.org/officeDocument/2006/relationships/hyperlink" Target="http://buildblock.com/technical/CAD_details.asp" TargetMode="External"/><Relationship Id="rId15" Type="http://schemas.openxmlformats.org/officeDocument/2006/relationships/ctrlProp" Target="../ctrlProps/ctrlProp31.xml"/><Relationship Id="rId23" Type="http://schemas.openxmlformats.org/officeDocument/2006/relationships/table" Target="../tables/table6.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hyperlink" Target="http://buildblock.com/builddeck/index.html" TargetMode="External"/><Relationship Id="rId9" Type="http://schemas.openxmlformats.org/officeDocument/2006/relationships/vmlDrawing" Target="../drawings/vmlDrawing3.vml"/><Relationship Id="rId14" Type="http://schemas.openxmlformats.org/officeDocument/2006/relationships/ctrlProp" Target="../ctrlProps/ctrlProp30.xml"/><Relationship Id="rId22"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49.xml"/><Relationship Id="rId7" Type="http://schemas.openxmlformats.org/officeDocument/2006/relationships/printerSettings" Target="../printerSettings/printerSettings5.bin"/><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39.xml"/><Relationship Id="rId24" Type="http://schemas.openxmlformats.org/officeDocument/2006/relationships/comments" Target="../comments4.xml"/><Relationship Id="rId5" Type="http://schemas.openxmlformats.org/officeDocument/2006/relationships/hyperlink" Target="http://buildblock.com/technical/CAD_details.asp" TargetMode="External"/><Relationship Id="rId15" Type="http://schemas.openxmlformats.org/officeDocument/2006/relationships/ctrlProp" Target="../ctrlProps/ctrlProp43.xml"/><Relationship Id="rId23" Type="http://schemas.openxmlformats.org/officeDocument/2006/relationships/table" Target="../tables/table8.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hyperlink" Target="http://buildblock.com/builddeck/index.html" TargetMode="External"/><Relationship Id="rId9" Type="http://schemas.openxmlformats.org/officeDocument/2006/relationships/vmlDrawing" Target="../drawings/vmlDrawing4.vml"/><Relationship Id="rId14" Type="http://schemas.openxmlformats.org/officeDocument/2006/relationships/ctrlProp" Target="../ctrlProps/ctrlProp42.xml"/><Relationship Id="rId22" Type="http://schemas.openxmlformats.org/officeDocument/2006/relationships/table" Target="../tables/table7.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61.xml"/><Relationship Id="rId7" Type="http://schemas.openxmlformats.org/officeDocument/2006/relationships/printerSettings" Target="../printerSettings/printerSettings6.bin"/><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51.xml"/><Relationship Id="rId24" Type="http://schemas.openxmlformats.org/officeDocument/2006/relationships/comments" Target="../comments5.xml"/><Relationship Id="rId5" Type="http://schemas.openxmlformats.org/officeDocument/2006/relationships/hyperlink" Target="http://buildblock.com/technical/CAD_details.asp" TargetMode="External"/><Relationship Id="rId15" Type="http://schemas.openxmlformats.org/officeDocument/2006/relationships/ctrlProp" Target="../ctrlProps/ctrlProp55.xml"/><Relationship Id="rId23" Type="http://schemas.openxmlformats.org/officeDocument/2006/relationships/table" Target="../tables/table10.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hyperlink" Target="http://buildblock.com/builddeck/index.html" TargetMode="External"/><Relationship Id="rId9" Type="http://schemas.openxmlformats.org/officeDocument/2006/relationships/vmlDrawing" Target="../drawings/vmlDrawing5.vml"/><Relationship Id="rId14" Type="http://schemas.openxmlformats.org/officeDocument/2006/relationships/ctrlProp" Target="../ctrlProps/ctrlProp54.xml"/><Relationship Id="rId22" Type="http://schemas.openxmlformats.org/officeDocument/2006/relationships/table" Target="../tables/table9.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73.xml"/><Relationship Id="rId7" Type="http://schemas.openxmlformats.org/officeDocument/2006/relationships/printerSettings" Target="../printerSettings/printerSettings7.bin"/><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63.xml"/><Relationship Id="rId24" Type="http://schemas.openxmlformats.org/officeDocument/2006/relationships/comments" Target="../comments6.xml"/><Relationship Id="rId5" Type="http://schemas.openxmlformats.org/officeDocument/2006/relationships/hyperlink" Target="http://buildblock.com/technical/CAD_details.asp" TargetMode="External"/><Relationship Id="rId15" Type="http://schemas.openxmlformats.org/officeDocument/2006/relationships/ctrlProp" Target="../ctrlProps/ctrlProp67.xml"/><Relationship Id="rId23" Type="http://schemas.openxmlformats.org/officeDocument/2006/relationships/table" Target="../tables/table12.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hyperlink" Target="http://buildblock.com/builddeck/index.html" TargetMode="External"/><Relationship Id="rId9" Type="http://schemas.openxmlformats.org/officeDocument/2006/relationships/vmlDrawing" Target="../drawings/vmlDrawing6.vml"/><Relationship Id="rId14" Type="http://schemas.openxmlformats.org/officeDocument/2006/relationships/ctrlProp" Target="../ctrlProps/ctrlProp66.xml"/><Relationship Id="rId22"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85.xml"/><Relationship Id="rId7" Type="http://schemas.openxmlformats.org/officeDocument/2006/relationships/printerSettings" Target="../printerSettings/printerSettings8.bin"/><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75.xml"/><Relationship Id="rId24" Type="http://schemas.openxmlformats.org/officeDocument/2006/relationships/comments" Target="../comments7.xml"/><Relationship Id="rId5" Type="http://schemas.openxmlformats.org/officeDocument/2006/relationships/hyperlink" Target="http://buildblock.com/technical/CAD_details.asp" TargetMode="External"/><Relationship Id="rId15" Type="http://schemas.openxmlformats.org/officeDocument/2006/relationships/ctrlProp" Target="../ctrlProps/ctrlProp79.xml"/><Relationship Id="rId23" Type="http://schemas.openxmlformats.org/officeDocument/2006/relationships/table" Target="../tables/table14.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hyperlink" Target="http://buildblock.com/builddeck/index.html" TargetMode="External"/><Relationship Id="rId9" Type="http://schemas.openxmlformats.org/officeDocument/2006/relationships/vmlDrawing" Target="../drawings/vmlDrawing7.vml"/><Relationship Id="rId14" Type="http://schemas.openxmlformats.org/officeDocument/2006/relationships/ctrlProp" Target="../ctrlProps/ctrlProp78.xml"/><Relationship Id="rId22"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97.xml"/><Relationship Id="rId7" Type="http://schemas.openxmlformats.org/officeDocument/2006/relationships/printerSettings" Target="../printerSettings/printerSettings9.bin"/><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87.xml"/><Relationship Id="rId24" Type="http://schemas.openxmlformats.org/officeDocument/2006/relationships/comments" Target="../comments8.xml"/><Relationship Id="rId5" Type="http://schemas.openxmlformats.org/officeDocument/2006/relationships/hyperlink" Target="http://buildblock.com/technical/CAD_details.asp" TargetMode="External"/><Relationship Id="rId15" Type="http://schemas.openxmlformats.org/officeDocument/2006/relationships/ctrlProp" Target="../ctrlProps/ctrlProp91.xml"/><Relationship Id="rId23" Type="http://schemas.openxmlformats.org/officeDocument/2006/relationships/table" Target="../tables/table16.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hyperlink" Target="http://buildblock.com/builddeck/index.html" TargetMode="External"/><Relationship Id="rId9" Type="http://schemas.openxmlformats.org/officeDocument/2006/relationships/vmlDrawing" Target="../drawings/vmlDrawing8.vml"/><Relationship Id="rId14" Type="http://schemas.openxmlformats.org/officeDocument/2006/relationships/ctrlProp" Target="../ctrlProps/ctrlProp90.xml"/><Relationship Id="rId22"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109.xml"/><Relationship Id="rId7" Type="http://schemas.openxmlformats.org/officeDocument/2006/relationships/printerSettings" Target="../printerSettings/printerSettings10.bin"/><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99.xml"/><Relationship Id="rId24" Type="http://schemas.openxmlformats.org/officeDocument/2006/relationships/comments" Target="../comments9.xml"/><Relationship Id="rId5" Type="http://schemas.openxmlformats.org/officeDocument/2006/relationships/hyperlink" Target="http://buildblock.com/technical/CAD_details.asp" TargetMode="External"/><Relationship Id="rId15" Type="http://schemas.openxmlformats.org/officeDocument/2006/relationships/ctrlProp" Target="../ctrlProps/ctrlProp103.xml"/><Relationship Id="rId23" Type="http://schemas.openxmlformats.org/officeDocument/2006/relationships/table" Target="../tables/table18.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hyperlink" Target="http://buildblock.com/builddeck/index.html" TargetMode="External"/><Relationship Id="rId9" Type="http://schemas.openxmlformats.org/officeDocument/2006/relationships/vmlDrawing" Target="../drawings/vmlDrawing9.vml"/><Relationship Id="rId14" Type="http://schemas.openxmlformats.org/officeDocument/2006/relationships/ctrlProp" Target="../ctrlProps/ctrlProp102.xml"/><Relationship Id="rId22"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hyperlink" Target="http://www.buildblock.com/products/insulating_concrete_forms/insulating_concrete_form.asp" TargetMode="External"/><Relationship Id="rId21" Type="http://schemas.openxmlformats.org/officeDocument/2006/relationships/ctrlProp" Target="../ctrlProps/ctrlProp121.xml"/><Relationship Id="rId7" Type="http://schemas.openxmlformats.org/officeDocument/2006/relationships/printerSettings" Target="../printerSettings/printerSettings11.bin"/><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hyperlink" Target="http://buildblock.com/products/waterproofing/DMX.asp" TargetMode="Externa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hyperlink" Target="http://buildblock.com/products/waterproofing/tamko.asp" TargetMode="External"/><Relationship Id="rId6" Type="http://schemas.openxmlformats.org/officeDocument/2006/relationships/hyperlink" Target="http://buildblock.com/technical/CAD_details.asp" TargetMode="External"/><Relationship Id="rId11" Type="http://schemas.openxmlformats.org/officeDocument/2006/relationships/ctrlProp" Target="../ctrlProps/ctrlProp111.xml"/><Relationship Id="rId24" Type="http://schemas.openxmlformats.org/officeDocument/2006/relationships/comments" Target="../comments10.xml"/><Relationship Id="rId5" Type="http://schemas.openxmlformats.org/officeDocument/2006/relationships/hyperlink" Target="http://buildblock.com/technical/CAD_details.asp" TargetMode="External"/><Relationship Id="rId15" Type="http://schemas.openxmlformats.org/officeDocument/2006/relationships/ctrlProp" Target="../ctrlProps/ctrlProp115.xml"/><Relationship Id="rId23" Type="http://schemas.openxmlformats.org/officeDocument/2006/relationships/table" Target="../tables/table20.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hyperlink" Target="http://buildblock.com/builddeck/index.html" TargetMode="External"/><Relationship Id="rId9" Type="http://schemas.openxmlformats.org/officeDocument/2006/relationships/vmlDrawing" Target="../drawings/vmlDrawing10.vml"/><Relationship Id="rId14" Type="http://schemas.openxmlformats.org/officeDocument/2006/relationships/ctrlProp" Target="../ctrlProps/ctrlProp114.xml"/><Relationship Id="rId22"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8" Type="http://schemas.openxmlformats.org/officeDocument/2006/relationships/hyperlink" Target="http://store.buildblock.com/Products/CRE-S-45/" TargetMode="External"/><Relationship Id="rId13" Type="http://schemas.openxmlformats.org/officeDocument/2006/relationships/hyperlink" Target="http://store.buildblock.com/Products/FF-74/" TargetMode="External"/><Relationship Id="rId18" Type="http://schemas.openxmlformats.org/officeDocument/2006/relationships/hyperlink" Target="http://store.buildblock.com/Products/SIM-ICFVL/" TargetMode="External"/><Relationship Id="rId26" Type="http://schemas.openxmlformats.org/officeDocument/2006/relationships/hyperlink" Target="http://store.buildblock.com/Products/WL-W-EG14/" TargetMode="External"/><Relationship Id="rId3" Type="http://schemas.openxmlformats.org/officeDocument/2006/relationships/hyperlink" Target="http://store.buildblock.com/Products/BR1-10/" TargetMode="External"/><Relationship Id="rId21" Type="http://schemas.openxmlformats.org/officeDocument/2006/relationships/hyperlink" Target="http://store.buildblock.com/Products/TW-6012/" TargetMode="External"/><Relationship Id="rId7" Type="http://schemas.openxmlformats.org/officeDocument/2006/relationships/hyperlink" Target="http://store.buildblock.com/Products/BRC-10/" TargetMode="External"/><Relationship Id="rId12" Type="http://schemas.openxmlformats.org/officeDocument/2006/relationships/hyperlink" Target="http://store.buildblock.com/Products/DMX-W200/" TargetMode="External"/><Relationship Id="rId17" Type="http://schemas.openxmlformats.org/officeDocument/2006/relationships/hyperlink" Target="http://store.buildblock.com/Products/EZRAZ-LTL/" TargetMode="External"/><Relationship Id="rId25" Type="http://schemas.openxmlformats.org/officeDocument/2006/relationships/hyperlink" Target="http://store.buildblock.com/Products/WL-W-EG13/" TargetMode="External"/><Relationship Id="rId2" Type="http://schemas.openxmlformats.org/officeDocument/2006/relationships/hyperlink" Target="http://store.buildblock.com/Products/BNCE-NH/" TargetMode="External"/><Relationship Id="rId16" Type="http://schemas.openxmlformats.org/officeDocument/2006/relationships/hyperlink" Target="http://store.buildblock.com/Products/TLM-PRO1/" TargetMode="External"/><Relationship Id="rId20" Type="http://schemas.openxmlformats.org/officeDocument/2006/relationships/hyperlink" Target="http://store.buildblock.com/Products/SIM-ICFVL-W/" TargetMode="External"/><Relationship Id="rId29" Type="http://schemas.openxmlformats.org/officeDocument/2006/relationships/hyperlink" Target="http://store.buildblock.com/Products/WL-W-PGCS/" TargetMode="External"/><Relationship Id="rId1" Type="http://schemas.openxmlformats.org/officeDocument/2006/relationships/hyperlink" Target="http://store.buildblock.com/Products/BNCE-20/" TargetMode="External"/><Relationship Id="rId6" Type="http://schemas.openxmlformats.org/officeDocument/2006/relationships/hyperlink" Target="http://store.buildblock.com/Products/BR3-10/" TargetMode="External"/><Relationship Id="rId11" Type="http://schemas.openxmlformats.org/officeDocument/2006/relationships/hyperlink" Target="http://store.buildblock.com/Products/DMX-FT010/" TargetMode="External"/><Relationship Id="rId24" Type="http://schemas.openxmlformats.org/officeDocument/2006/relationships/hyperlink" Target="http://store.buildblock.com/Products/WL-WI-UICFQCKIT/" TargetMode="External"/><Relationship Id="rId5" Type="http://schemas.openxmlformats.org/officeDocument/2006/relationships/hyperlink" Target="http://store.buildblock.com/Products/BR3-10P/" TargetMode="External"/><Relationship Id="rId15" Type="http://schemas.openxmlformats.org/officeDocument/2006/relationships/hyperlink" Target="http://store.buildblock.com/Products/WL-2-ICFKIT/" TargetMode="External"/><Relationship Id="rId23" Type="http://schemas.openxmlformats.org/officeDocument/2006/relationships/hyperlink" Target="http://store.buildblock.com/Products/TW-TWP-2/" TargetMode="External"/><Relationship Id="rId28" Type="http://schemas.openxmlformats.org/officeDocument/2006/relationships/hyperlink" Target="http://store.buildblock.com/Products/MPZU/" TargetMode="External"/><Relationship Id="rId10" Type="http://schemas.openxmlformats.org/officeDocument/2006/relationships/hyperlink" Target="http://store.buildblock.com/Products/DMX-244-20/" TargetMode="External"/><Relationship Id="rId19" Type="http://schemas.openxmlformats.org/officeDocument/2006/relationships/hyperlink" Target="http://store.buildblock.com/Products/SIM-ICFVL-CW/" TargetMode="External"/><Relationship Id="rId31" Type="http://schemas.openxmlformats.org/officeDocument/2006/relationships/printerSettings" Target="../printerSettings/printerSettings12.bin"/><Relationship Id="rId4" Type="http://schemas.openxmlformats.org/officeDocument/2006/relationships/hyperlink" Target="http://store.buildblock.com/Products/BR1-10P/" TargetMode="External"/><Relationship Id="rId9" Type="http://schemas.openxmlformats.org/officeDocument/2006/relationships/hyperlink" Target="http://store.buildblock.com/Products/DMX-200-20/" TargetMode="External"/><Relationship Id="rId14" Type="http://schemas.openxmlformats.org/officeDocument/2006/relationships/hyperlink" Target="http://store.buildblock.com/Products/FF-62/" TargetMode="External"/><Relationship Id="rId22" Type="http://schemas.openxmlformats.org/officeDocument/2006/relationships/hyperlink" Target="http://store.buildblock.com/Products/TW-60/" TargetMode="External"/><Relationship Id="rId27" Type="http://schemas.openxmlformats.org/officeDocument/2006/relationships/hyperlink" Target="http://store.buildblock.com/Products/MPZ/" TargetMode="External"/><Relationship Id="rId30" Type="http://schemas.openxmlformats.org/officeDocument/2006/relationships/hyperlink" Target="http://store.buildblock.com/Products/WL-W-CLF2F/" TargetMode="Externa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6.xml"/><Relationship Id="rId3" Type="http://schemas.openxmlformats.org/officeDocument/2006/relationships/vmlDrawing" Target="../drawings/vmlDrawing11.vml"/><Relationship Id="rId7" Type="http://schemas.openxmlformats.org/officeDocument/2006/relationships/ctrlProp" Target="../ctrlProps/ctrlProp125.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4.xml"/><Relationship Id="rId11" Type="http://schemas.openxmlformats.org/officeDocument/2006/relationships/comments" Target="../comments11.xml"/><Relationship Id="rId5" Type="http://schemas.openxmlformats.org/officeDocument/2006/relationships/ctrlProp" Target="../ctrlProps/ctrlProp123.xml"/><Relationship Id="rId10" Type="http://schemas.openxmlformats.org/officeDocument/2006/relationships/table" Target="../tables/table22.xml"/><Relationship Id="rId4" Type="http://schemas.openxmlformats.org/officeDocument/2006/relationships/ctrlProp" Target="../ctrlProps/ctrlProp122.xml"/><Relationship Id="rId9" Type="http://schemas.openxmlformats.org/officeDocument/2006/relationships/table" Target="../tables/table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12.vml"/><Relationship Id="rId7" Type="http://schemas.openxmlformats.org/officeDocument/2006/relationships/ctrlProp" Target="../ctrlProps/ctrlProp130.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I97"/>
  <sheetViews>
    <sheetView showRuler="0" topLeftCell="B5" zoomScaleNormal="100" zoomScalePageLayoutView="115" workbookViewId="0">
      <selection activeCell="E13" sqref="E13"/>
    </sheetView>
  </sheetViews>
  <sheetFormatPr defaultRowHeight="12.75" x14ac:dyDescent="0.2"/>
  <cols>
    <col min="1" max="1" width="3.7109375" style="117" customWidth="1"/>
    <col min="2" max="2" width="13.85546875" style="117" bestFit="1" customWidth="1"/>
    <col min="3" max="3" width="11.140625" style="117" customWidth="1"/>
    <col min="4" max="4" width="13.42578125" style="117" customWidth="1"/>
    <col min="5" max="5" width="8.7109375" style="117" customWidth="1"/>
    <col min="6" max="6" width="12.7109375" style="117" customWidth="1"/>
    <col min="7" max="7" width="13.7109375" style="117" customWidth="1"/>
    <col min="8" max="8" width="8.5703125" style="117" customWidth="1"/>
    <col min="9" max="9" width="17.7109375" style="117" bestFit="1" customWidth="1"/>
    <col min="10" max="10" width="8.7109375" style="470" customWidth="1"/>
    <col min="11" max="11" width="12.7109375" style="470" customWidth="1"/>
    <col min="12" max="12" width="13.140625" style="115" hidden="1" customWidth="1"/>
    <col min="13" max="13" width="13.28515625" style="118" bestFit="1" customWidth="1"/>
    <col min="14" max="14" width="14.85546875" style="118" bestFit="1" customWidth="1"/>
    <col min="15" max="19" width="9.140625" style="118"/>
    <col min="20" max="20" width="9.5703125" style="118" bestFit="1" customWidth="1"/>
    <col min="21" max="21" width="14.140625" style="118" customWidth="1"/>
    <col min="22" max="22" width="8.5703125" style="118" customWidth="1"/>
    <col min="23" max="23" width="9.140625" style="118"/>
    <col min="24" max="24" width="13.140625" style="118" bestFit="1" customWidth="1"/>
    <col min="25" max="25" width="8.5703125" style="118" customWidth="1"/>
    <col min="26" max="29" width="9.140625" style="118"/>
    <col min="30" max="16384" width="9.140625" style="117"/>
  </cols>
  <sheetData>
    <row r="1" spans="2:35" hidden="1" x14ac:dyDescent="0.2">
      <c r="B1" s="461"/>
      <c r="C1" s="462"/>
      <c r="D1" s="462"/>
      <c r="E1" s="462"/>
      <c r="F1" s="462"/>
      <c r="G1" s="462"/>
      <c r="H1" s="462"/>
      <c r="I1" s="462"/>
      <c r="J1" s="463"/>
      <c r="K1" s="464"/>
      <c r="M1" s="69"/>
      <c r="N1" s="114"/>
      <c r="O1" s="114"/>
      <c r="P1" s="114"/>
      <c r="Q1" s="114"/>
      <c r="R1" s="114"/>
      <c r="S1" s="114"/>
      <c r="T1" s="114"/>
      <c r="U1" s="114"/>
      <c r="V1" s="114"/>
      <c r="W1" s="114"/>
      <c r="X1" s="114"/>
      <c r="Y1" s="114"/>
      <c r="Z1" s="114"/>
      <c r="AA1" s="69"/>
    </row>
    <row r="2" spans="2:35" hidden="1" x14ac:dyDescent="0.2">
      <c r="B2" s="466"/>
      <c r="C2" s="467"/>
      <c r="D2" s="467"/>
      <c r="E2" s="467"/>
      <c r="F2" s="467"/>
      <c r="G2" s="467"/>
      <c r="H2" s="468"/>
      <c r="I2" s="468"/>
      <c r="J2" s="468"/>
      <c r="K2" s="469"/>
      <c r="M2" s="69"/>
      <c r="N2" s="114"/>
      <c r="O2" s="114"/>
      <c r="P2" s="114"/>
      <c r="Q2" s="114"/>
      <c r="R2" s="114"/>
      <c r="S2" s="114"/>
      <c r="T2" s="114"/>
      <c r="U2" s="114"/>
      <c r="V2" s="114"/>
      <c r="W2" s="114"/>
      <c r="X2" s="114"/>
      <c r="Y2" s="114"/>
      <c r="Z2" s="114"/>
      <c r="AA2" s="69"/>
      <c r="AB2" s="69"/>
      <c r="AC2" s="69"/>
      <c r="AD2" s="115"/>
      <c r="AE2" s="115"/>
      <c r="AF2" s="115"/>
    </row>
    <row r="3" spans="2:35" ht="10.5" hidden="1" customHeight="1" x14ac:dyDescent="0.2">
      <c r="B3" s="466"/>
      <c r="C3" s="467"/>
      <c r="D3" s="467"/>
      <c r="E3" s="467"/>
      <c r="F3" s="467"/>
      <c r="G3" s="467"/>
      <c r="H3" s="623"/>
      <c r="I3" s="623"/>
      <c r="J3" s="623"/>
      <c r="K3" s="624"/>
      <c r="M3" s="69"/>
      <c r="N3" s="114"/>
      <c r="O3" s="114"/>
      <c r="P3" s="114"/>
      <c r="Q3" s="114"/>
      <c r="R3" s="114"/>
      <c r="S3" s="114"/>
      <c r="T3" s="114"/>
      <c r="U3" s="114"/>
      <c r="V3" s="114"/>
      <c r="W3" s="114"/>
      <c r="X3" s="114"/>
      <c r="Y3" s="114"/>
      <c r="Z3" s="114"/>
      <c r="AA3" s="69"/>
      <c r="AB3" s="69"/>
      <c r="AC3" s="69"/>
      <c r="AD3" s="115"/>
      <c r="AE3" s="115"/>
      <c r="AF3" s="115"/>
    </row>
    <row r="4" spans="2:35" ht="12.75" hidden="1" customHeight="1" thickBot="1" x14ac:dyDescent="0.25">
      <c r="B4" s="466"/>
      <c r="C4" s="467"/>
      <c r="D4" s="467"/>
      <c r="M4" s="69"/>
      <c r="N4" s="114"/>
      <c r="O4" s="114"/>
      <c r="P4" s="114"/>
      <c r="Q4" s="114"/>
      <c r="R4" s="114"/>
      <c r="S4" s="114"/>
      <c r="T4" s="114"/>
      <c r="U4" s="114"/>
      <c r="V4" s="114"/>
      <c r="W4" s="114"/>
      <c r="X4" s="114"/>
      <c r="Y4" s="114"/>
      <c r="Z4" s="114"/>
      <c r="AA4" s="69"/>
      <c r="AB4" s="69"/>
      <c r="AC4" s="69"/>
      <c r="AD4" s="115"/>
      <c r="AE4" s="115"/>
      <c r="AF4" s="115"/>
    </row>
    <row r="5" spans="2:35" x14ac:dyDescent="0.2">
      <c r="B5" s="471"/>
      <c r="C5" s="472"/>
      <c r="D5" s="472"/>
      <c r="E5" s="472"/>
      <c r="F5" s="472"/>
      <c r="G5" s="472"/>
      <c r="H5" s="472"/>
      <c r="I5" s="472"/>
      <c r="J5" s="473"/>
      <c r="K5" s="474"/>
      <c r="M5" s="115"/>
      <c r="N5" s="465"/>
      <c r="O5" s="465"/>
      <c r="P5" s="465"/>
      <c r="Q5" s="465"/>
      <c r="R5" s="465"/>
      <c r="S5" s="465"/>
      <c r="T5" s="465"/>
      <c r="U5" s="465"/>
      <c r="V5" s="465"/>
      <c r="W5" s="465"/>
      <c r="X5" s="465"/>
      <c r="Y5" s="465"/>
      <c r="Z5" s="465"/>
      <c r="AA5" s="115"/>
      <c r="AB5" s="69"/>
      <c r="AC5" s="69"/>
      <c r="AD5" s="115"/>
      <c r="AE5" s="115"/>
      <c r="AF5" s="115"/>
    </row>
    <row r="6" spans="2:35" ht="12.75" customHeight="1" thickBot="1" x14ac:dyDescent="0.25">
      <c r="B6" s="475"/>
      <c r="C6" s="476"/>
      <c r="D6" s="476"/>
      <c r="E6" s="601" t="s">
        <v>550</v>
      </c>
      <c r="F6" s="601"/>
      <c r="G6" s="601"/>
      <c r="H6" s="601"/>
      <c r="I6" s="601"/>
      <c r="J6" s="601"/>
      <c r="K6" s="602"/>
      <c r="M6" s="115"/>
      <c r="N6" s="465"/>
      <c r="O6" s="465"/>
      <c r="P6" s="465"/>
      <c r="Q6" s="465"/>
      <c r="R6" s="465"/>
      <c r="S6" s="465"/>
      <c r="T6" s="465"/>
      <c r="U6" s="465"/>
      <c r="V6" s="465"/>
      <c r="W6" s="465"/>
      <c r="X6" s="465"/>
      <c r="Y6" s="465"/>
      <c r="Z6" s="465"/>
      <c r="AA6" s="115"/>
      <c r="AB6" s="69"/>
      <c r="AC6" s="69"/>
      <c r="AD6" s="115"/>
      <c r="AE6" s="115"/>
      <c r="AF6" s="115"/>
    </row>
    <row r="7" spans="2:35" ht="13.5" thickBot="1" x14ac:dyDescent="0.25">
      <c r="B7" s="477" t="s">
        <v>31</v>
      </c>
      <c r="C7" s="613" t="str">
        <f>'Level 1'!$C$6</f>
        <v xml:space="preserve">Name </v>
      </c>
      <c r="D7" s="615"/>
      <c r="E7" s="478" t="s">
        <v>114</v>
      </c>
      <c r="F7" s="613" t="str">
        <f>'Level 1'!$H$6</f>
        <v xml:space="preserve">Number  </v>
      </c>
      <c r="G7" s="614"/>
      <c r="H7" s="615"/>
      <c r="I7" s="635" t="str">
        <f ca="1">RIGHT(CELL("filename",E3),LEN(CELL("filename",E3))-FIND("]",CELL("filename",E3)))</f>
        <v>Summary</v>
      </c>
      <c r="J7" s="635"/>
      <c r="K7" s="636"/>
      <c r="M7" s="573"/>
      <c r="N7" s="465"/>
      <c r="O7" s="465"/>
      <c r="P7" s="465"/>
      <c r="Q7" s="465"/>
      <c r="R7" s="465"/>
      <c r="S7" s="465"/>
      <c r="T7" s="465"/>
      <c r="U7" s="465"/>
      <c r="V7" s="465"/>
      <c r="W7" s="465"/>
      <c r="X7" s="465"/>
      <c r="Y7" s="465"/>
      <c r="Z7" s="465"/>
      <c r="AA7" s="115"/>
      <c r="AB7" s="69"/>
      <c r="AC7" s="69"/>
      <c r="AD7" s="115"/>
      <c r="AE7" s="115"/>
      <c r="AF7" s="115"/>
    </row>
    <row r="8" spans="2:35" ht="13.5" thickBot="1" x14ac:dyDescent="0.25">
      <c r="B8" s="479" t="s">
        <v>32</v>
      </c>
      <c r="C8" s="611" t="str">
        <f>'Level 1'!$C$7</f>
        <v>Phone</v>
      </c>
      <c r="D8" s="612"/>
      <c r="E8" s="612"/>
      <c r="F8" s="611">
        <f>'Level 1'!$H$7</f>
        <v>0</v>
      </c>
      <c r="G8" s="612"/>
      <c r="H8" s="616"/>
      <c r="I8" s="568" t="s">
        <v>93</v>
      </c>
      <c r="J8" s="637" t="str">
        <f>'Level 1'!$K$7</f>
        <v>Date</v>
      </c>
      <c r="K8" s="637"/>
      <c r="L8" s="115">
        <v>41173</v>
      </c>
      <c r="M8" s="573"/>
      <c r="N8" s="465"/>
      <c r="O8" s="465"/>
      <c r="P8" s="465"/>
      <c r="Q8" s="465"/>
      <c r="R8" s="465"/>
      <c r="S8" s="465"/>
      <c r="T8" s="465"/>
      <c r="U8" s="465"/>
      <c r="V8" s="465"/>
      <c r="W8" s="465"/>
      <c r="X8" s="465"/>
      <c r="Y8" s="465"/>
      <c r="Z8" s="465"/>
      <c r="AA8" s="115"/>
      <c r="AB8" s="69"/>
      <c r="AC8" s="69"/>
      <c r="AD8" s="115"/>
      <c r="AE8" s="115"/>
      <c r="AF8" s="115"/>
    </row>
    <row r="9" spans="2:35" ht="13.5" thickBot="1" x14ac:dyDescent="0.25">
      <c r="B9" s="480" t="s">
        <v>38</v>
      </c>
      <c r="C9" s="613" t="str">
        <f>'Level 1'!$C$8</f>
        <v>Address</v>
      </c>
      <c r="D9" s="614"/>
      <c r="E9" s="614"/>
      <c r="F9" s="613" t="str">
        <f>'Level 1'!$H$8</f>
        <v>Address</v>
      </c>
      <c r="G9" s="614"/>
      <c r="H9" s="615"/>
      <c r="I9" s="568" t="s">
        <v>33</v>
      </c>
      <c r="J9" s="638" t="str">
        <f>'Level 1'!$K$8</f>
        <v xml:space="preserve">Estimator </v>
      </c>
      <c r="K9" s="638"/>
      <c r="M9" s="573"/>
      <c r="N9" s="465"/>
      <c r="O9" s="465"/>
      <c r="P9" s="465"/>
      <c r="Q9" s="465"/>
      <c r="R9" s="465"/>
      <c r="S9" s="465"/>
      <c r="T9" s="465"/>
      <c r="U9" s="465"/>
      <c r="V9" s="465"/>
      <c r="W9" s="465"/>
      <c r="X9" s="465"/>
      <c r="Y9" s="465"/>
      <c r="Z9" s="465"/>
      <c r="AA9" s="115"/>
      <c r="AB9" s="69"/>
      <c r="AC9" s="69"/>
      <c r="AD9" s="115"/>
      <c r="AE9" s="115"/>
      <c r="AF9" s="115"/>
    </row>
    <row r="10" spans="2:35" ht="13.5" thickBot="1" x14ac:dyDescent="0.25">
      <c r="B10" s="481"/>
      <c r="C10" s="613" t="str">
        <f>'Level 1'!$C$9</f>
        <v>City, State Zip</v>
      </c>
      <c r="D10" s="614"/>
      <c r="E10" s="614"/>
      <c r="F10" s="613" t="str">
        <f>'Level 1'!$H$9</f>
        <v>City, State Zip</v>
      </c>
      <c r="G10" s="614"/>
      <c r="H10" s="615"/>
      <c r="I10" s="568" t="s">
        <v>32</v>
      </c>
      <c r="J10" s="633" t="str">
        <f>'Level 1'!$K$9</f>
        <v>Number</v>
      </c>
      <c r="K10" s="633"/>
      <c r="M10" s="573"/>
      <c r="N10" s="465"/>
      <c r="O10" s="465"/>
      <c r="P10" s="465"/>
      <c r="Q10" s="465"/>
      <c r="R10" s="465"/>
      <c r="S10" s="465"/>
      <c r="T10" s="465"/>
      <c r="U10" s="465"/>
      <c r="V10" s="465"/>
      <c r="W10" s="465"/>
      <c r="X10" s="465"/>
      <c r="Y10" s="465"/>
      <c r="Z10" s="465"/>
      <c r="AA10" s="115"/>
      <c r="AB10" s="69"/>
      <c r="AC10" s="69"/>
      <c r="AD10" s="115"/>
      <c r="AE10" s="115"/>
      <c r="AF10" s="115"/>
    </row>
    <row r="11" spans="2:35" ht="13.5" thickBot="1" x14ac:dyDescent="0.25">
      <c r="B11" s="639" t="s">
        <v>558</v>
      </c>
      <c r="C11" s="640"/>
      <c r="D11" s="640"/>
      <c r="E11" s="640"/>
      <c r="F11" s="640"/>
      <c r="G11" s="640"/>
      <c r="H11" s="640"/>
      <c r="I11" s="640"/>
      <c r="J11" s="640"/>
      <c r="K11" s="641"/>
      <c r="M11" s="573"/>
      <c r="N11" s="465"/>
      <c r="O11" s="465"/>
      <c r="P11" s="465"/>
      <c r="Q11" s="465"/>
      <c r="R11" s="465"/>
      <c r="S11" s="465"/>
      <c r="T11" s="465"/>
      <c r="U11" s="465"/>
      <c r="V11" s="465"/>
      <c r="W11" s="465"/>
      <c r="X11" s="465"/>
      <c r="Y11" s="465"/>
      <c r="Z11" s="465"/>
      <c r="AA11" s="115"/>
      <c r="AB11" s="69"/>
      <c r="AC11" s="69"/>
      <c r="AD11" s="115"/>
      <c r="AE11" s="115"/>
      <c r="AF11" s="115"/>
      <c r="AG11" s="115"/>
      <c r="AH11" s="115"/>
      <c r="AI11" s="115"/>
    </row>
    <row r="12" spans="2:35" ht="13.5" thickBot="1" x14ac:dyDescent="0.25">
      <c r="B12" s="482" t="s">
        <v>242</v>
      </c>
      <c r="C12" s="483" t="s">
        <v>108</v>
      </c>
      <c r="D12" s="483" t="s">
        <v>217</v>
      </c>
      <c r="E12" s="484" t="s">
        <v>218</v>
      </c>
      <c r="F12" s="485" t="s">
        <v>28</v>
      </c>
      <c r="G12" s="486" t="s">
        <v>107</v>
      </c>
      <c r="H12" s="483" t="s">
        <v>108</v>
      </c>
      <c r="I12" s="483" t="s">
        <v>217</v>
      </c>
      <c r="J12" s="484" t="s">
        <v>218</v>
      </c>
      <c r="K12" s="485" t="s">
        <v>28</v>
      </c>
      <c r="M12" s="584" t="s">
        <v>216</v>
      </c>
      <c r="N12" s="585" t="s">
        <v>209</v>
      </c>
      <c r="O12" s="114" t="s">
        <v>210</v>
      </c>
      <c r="P12" s="114" t="s">
        <v>211</v>
      </c>
      <c r="Q12" s="114" t="s">
        <v>210</v>
      </c>
      <c r="R12" s="114" t="s">
        <v>212</v>
      </c>
      <c r="S12" s="114" t="s">
        <v>210</v>
      </c>
      <c r="T12" s="114" t="s">
        <v>213</v>
      </c>
      <c r="U12" s="114" t="s">
        <v>210</v>
      </c>
      <c r="V12" s="114" t="s">
        <v>214</v>
      </c>
      <c r="W12" s="114" t="s">
        <v>210</v>
      </c>
      <c r="X12" s="114" t="s">
        <v>215</v>
      </c>
      <c r="Y12" s="114" t="s">
        <v>210</v>
      </c>
      <c r="Z12" s="117"/>
      <c r="AA12" s="117"/>
      <c r="AF12" s="115"/>
      <c r="AG12" s="115"/>
      <c r="AH12" s="115"/>
      <c r="AI12" s="115"/>
    </row>
    <row r="13" spans="2:35" ht="13.5" customHeight="1" x14ac:dyDescent="0.2">
      <c r="B13" s="569" t="str">
        <f ca="1">T25</f>
        <v/>
      </c>
      <c r="C13" s="570">
        <f ca="1">IF(ISNA(VLOOKUP(B13,N25:O35,2,FALSE)),0,VLOOKUP(B13,N25:O35,2,FALSE))</f>
        <v>0</v>
      </c>
      <c r="D13" s="571" t="str">
        <f ca="1">IF(ISNA(VLOOKUP(B13,$N$25:$Q$35,4,FALSE)),0,VLOOKUP(B13,$N$25:$Q$35,4,FALSE))&amp;"  ("&amp;IF(ISNA(U25),0,U25)&amp;")"</f>
        <v>0  (0)</v>
      </c>
      <c r="E13" s="490">
        <v>0</v>
      </c>
      <c r="F13" s="491">
        <f ca="1">IF(ISNA(U25),0,E13*U25)</f>
        <v>0</v>
      </c>
      <c r="G13" s="492" t="str">
        <f ca="1">T46</f>
        <v/>
      </c>
      <c r="H13" s="488">
        <f ca="1">IF(ISNA(VLOOKUP(G13,N46:O47,2,FALSE)),0,VLOOKUP(G13,N46:O47,2,FALSE))</f>
        <v>0</v>
      </c>
      <c r="I13" s="489" t="str">
        <f ca="1">IF(ISNA(VLOOKUP(G13,N46:Q47,4,FALSE)),0,VLOOKUP(G13,N46:Q47,4,FALSE))&amp;"  ("&amp;IF(ISNA(U46),0,U46)&amp;")"</f>
        <v>0  (0)</v>
      </c>
      <c r="J13" s="490">
        <v>0</v>
      </c>
      <c r="K13" s="491">
        <f ca="1">IF(ISNA(U46),0,J13*U46)</f>
        <v>0</v>
      </c>
      <c r="M13" s="586" t="s">
        <v>80</v>
      </c>
      <c r="N13" s="587" t="str">
        <f>'Level 1'!$J$19</f>
        <v>Blocks</v>
      </c>
      <c r="O13" s="114">
        <f>'Level 1'!$L$19</f>
        <v>0</v>
      </c>
      <c r="P13" s="114" t="str">
        <f>'Level 1'!$J$20</f>
        <v>90° CORNER</v>
      </c>
      <c r="Q13" s="114">
        <f>'Level 1'!$L$20</f>
        <v>0</v>
      </c>
      <c r="R13" s="114" t="str">
        <f>'Level 1'!$J$21</f>
        <v>45° CORNER</v>
      </c>
      <c r="S13" s="114">
        <f>'Level 1'!$L$21</f>
        <v>0</v>
      </c>
      <c r="T13" s="114" t="str">
        <f>'Level 1'!$J$22</f>
        <v>BRICKLEDGE</v>
      </c>
      <c r="U13" s="114">
        <f>'Level 1'!$L$22</f>
        <v>0</v>
      </c>
      <c r="V13" s="114" t="str">
        <f>'Level 1'!$J$23</f>
        <v>DOUBLE TAPER</v>
      </c>
      <c r="W13" s="114">
        <f>'Level 1'!$L$23</f>
        <v>0</v>
      </c>
      <c r="X13" s="114" t="str">
        <f>'Level 1'!$J$24</f>
        <v>BUILDDECK</v>
      </c>
      <c r="Y13" s="114">
        <f>'Level 1'!$L$24</f>
        <v>0</v>
      </c>
      <c r="Z13" s="117"/>
      <c r="AA13" s="117"/>
      <c r="AE13" s="115"/>
      <c r="AF13" s="115"/>
      <c r="AG13" s="115"/>
      <c r="AH13" s="115"/>
      <c r="AI13" s="115"/>
    </row>
    <row r="14" spans="2:35" ht="13.5" thickBot="1" x14ac:dyDescent="0.25">
      <c r="B14" s="548" t="str">
        <f ca="1">T26</f>
        <v/>
      </c>
      <c r="C14" s="549">
        <f ca="1">IF(ISNA(VLOOKUP(B14,N26:O36,2,FALSE)),0,VLOOKUP(B14,N26:O36,2,FALSE))</f>
        <v>0</v>
      </c>
      <c r="D14" s="550" t="str">
        <f ca="1">IF(ISNA(VLOOKUP(B14,$N$25:$Q$35,4,FALSE)),0,VLOOKUP(B14,$N$25:$Q$35,4,FALSE))&amp;"  ("&amp;IF(ISNA(U26),0,U26)&amp;")"</f>
        <v>0  (0)</v>
      </c>
      <c r="E14" s="496">
        <v>0</v>
      </c>
      <c r="F14" s="497">
        <f ca="1">IF(ISNA(U26),0,E14*U26)</f>
        <v>0</v>
      </c>
      <c r="G14" s="498" t="str">
        <f ca="1">T47</f>
        <v/>
      </c>
      <c r="H14" s="499">
        <f ca="1">IF(ISNA(VLOOKUP(G14,N47:O48,2,FALSE)),0,VLOOKUP(G14,N47:O48,2,FALSE))</f>
        <v>0</v>
      </c>
      <c r="I14" s="500" t="str">
        <f ca="1">IF(ISNA(VLOOKUP(G14,N47:Q48,4,FALSE)),0,VLOOKUP(G14,N47:Q48,4,FALSE))&amp;"  ("&amp;IF(ISNA(U47),0,U47)&amp;")"</f>
        <v>0  (0)</v>
      </c>
      <c r="J14" s="501">
        <v>0</v>
      </c>
      <c r="K14" s="502">
        <f ca="1">IF(ISNA(U47),0,J14*U47)</f>
        <v>0</v>
      </c>
      <c r="M14" s="586" t="s">
        <v>81</v>
      </c>
      <c r="N14" s="587" t="str">
        <f>'Level 2'!$J$19</f>
        <v>Blocks</v>
      </c>
      <c r="O14" s="114">
        <f>'Level 2'!$L$19</f>
        <v>0</v>
      </c>
      <c r="P14" s="114" t="str">
        <f>'Level 2'!$J$20</f>
        <v>90° CORNER</v>
      </c>
      <c r="Q14" s="114">
        <f>'Level 2'!$L$20</f>
        <v>0</v>
      </c>
      <c r="R14" s="114" t="str">
        <f>'Level 2'!$J$21</f>
        <v>45° CORNER</v>
      </c>
      <c r="S14" s="114">
        <f>'Level 2'!$L$21</f>
        <v>0</v>
      </c>
      <c r="T14" s="114" t="str">
        <f>'Level 2'!$J$22</f>
        <v>BRICKLEDGE</v>
      </c>
      <c r="U14" s="114">
        <f>'Level 2'!$L$22</f>
        <v>0</v>
      </c>
      <c r="V14" s="114" t="str">
        <f>'Level 2'!$J$23</f>
        <v>DOUBLE TAPER</v>
      </c>
      <c r="W14" s="114">
        <f>'Level 2'!$L$23</f>
        <v>0</v>
      </c>
      <c r="X14" s="114" t="str">
        <f>'Level 2'!$J$24</f>
        <v>BUILDDECK</v>
      </c>
      <c r="Y14" s="114">
        <f>'Level 2'!$L$24</f>
        <v>0</v>
      </c>
      <c r="Z14" s="117"/>
      <c r="AA14" s="117"/>
      <c r="AE14" s="115"/>
      <c r="AF14" s="115"/>
      <c r="AG14" s="115"/>
      <c r="AH14" s="115"/>
      <c r="AI14" s="115"/>
    </row>
    <row r="15" spans="2:35" ht="13.5" thickBot="1" x14ac:dyDescent="0.25">
      <c r="B15" s="493" t="str">
        <f ca="1">T27</f>
        <v/>
      </c>
      <c r="C15" s="494">
        <f ca="1">IF(ISNA(VLOOKUP(B15,N27:O37,2,FALSE)),0,VLOOKUP(B15,N27:O37,2,FALSE))</f>
        <v>0</v>
      </c>
      <c r="D15" s="495" t="str">
        <f ca="1">IF(ISNA(VLOOKUP(B15,$N$25:$Q$35,4,FALSE)),0,VLOOKUP(B15,$N$25:$Q$35,4,FALSE))&amp;"  ("&amp;IF(ISNA(U27),0,U27)&amp;")"</f>
        <v>0  (0)</v>
      </c>
      <c r="E15" s="496">
        <v>0</v>
      </c>
      <c r="F15" s="497">
        <f ca="1">IF(ISNA(U27),0,E15*U27)</f>
        <v>0</v>
      </c>
      <c r="G15" s="503" t="s">
        <v>227</v>
      </c>
      <c r="H15" s="504"/>
      <c r="I15" s="504">
        <f ca="1">SUM(I13:I14)</f>
        <v>0</v>
      </c>
      <c r="J15" s="504"/>
      <c r="K15" s="505">
        <f ca="1">SUM(K13:K14)</f>
        <v>0</v>
      </c>
      <c r="M15" s="586" t="s">
        <v>82</v>
      </c>
      <c r="N15" s="587" t="str">
        <f>'Level 3'!$J$19</f>
        <v>Blocks</v>
      </c>
      <c r="O15" s="114">
        <f>'Level 3'!$L$19</f>
        <v>0</v>
      </c>
      <c r="P15" s="114" t="str">
        <f>'Level 3'!$J$20</f>
        <v>90° CORNER</v>
      </c>
      <c r="Q15" s="114">
        <f>'Level 3'!$L$20</f>
        <v>0</v>
      </c>
      <c r="R15" s="114" t="str">
        <f>'Level 3'!$J$21</f>
        <v>45° CORNER</v>
      </c>
      <c r="S15" s="114">
        <f>'Level 3'!$L$21</f>
        <v>0</v>
      </c>
      <c r="T15" s="114" t="str">
        <f>'Level 3'!$J$22</f>
        <v>BRICKLEDGE</v>
      </c>
      <c r="U15" s="114">
        <f>'Level 3'!$L$22</f>
        <v>0</v>
      </c>
      <c r="V15" s="114" t="str">
        <f>'Level 3'!$J$23</f>
        <v>DOUBLE TAPER</v>
      </c>
      <c r="W15" s="114">
        <f>'Level 3'!$L$23</f>
        <v>0</v>
      </c>
      <c r="X15" s="114" t="str">
        <f>'Level 3'!$J$24</f>
        <v>BUILDDECK</v>
      </c>
      <c r="Y15" s="114">
        <f>'Level 3'!$L$24</f>
        <v>0</v>
      </c>
      <c r="Z15" s="117"/>
      <c r="AA15" s="117"/>
      <c r="AE15" s="115"/>
      <c r="AF15" s="115"/>
      <c r="AG15" s="115"/>
      <c r="AH15" s="115"/>
      <c r="AI15" s="115"/>
    </row>
    <row r="16" spans="2:35" ht="13.5" thickBot="1" x14ac:dyDescent="0.25">
      <c r="B16" s="493" t="str">
        <f ca="1">T28</f>
        <v/>
      </c>
      <c r="C16" s="494">
        <f ca="1">IF(ISNA(VLOOKUP(B16,N28:O38,2,FALSE)),0,VLOOKUP(B16,N28:O38,2,FALSE))</f>
        <v>0</v>
      </c>
      <c r="D16" s="495" t="str">
        <f ca="1">IF(ISNA(VLOOKUP(B16,$N$25:$Q$35,4,FALSE)),0,VLOOKUP(B16,$N$25:$Q$35,4,FALSE))&amp;"  ("&amp;IF(ISNA(U28),0,U28)&amp;")"</f>
        <v>0  (0)</v>
      </c>
      <c r="E16" s="496">
        <v>0</v>
      </c>
      <c r="F16" s="497">
        <f ca="1">IF(ISNA(U28),0,E16*U28)</f>
        <v>0</v>
      </c>
      <c r="G16" s="506" t="s">
        <v>221</v>
      </c>
      <c r="H16" s="507" t="s">
        <v>108</v>
      </c>
      <c r="I16" s="507" t="s">
        <v>217</v>
      </c>
      <c r="J16" s="508" t="s">
        <v>218</v>
      </c>
      <c r="K16" s="509" t="s">
        <v>28</v>
      </c>
      <c r="M16" s="586" t="s">
        <v>83</v>
      </c>
      <c r="N16" s="587" t="str">
        <f>'Level 4'!$J$19</f>
        <v>Blocks</v>
      </c>
      <c r="O16" s="114">
        <f>'Level 4'!$L$19</f>
        <v>0</v>
      </c>
      <c r="P16" s="114" t="str">
        <f>'Level 4'!$J$20</f>
        <v>90° CORNER</v>
      </c>
      <c r="Q16" s="114">
        <f>'Level 4'!$L$20</f>
        <v>0</v>
      </c>
      <c r="R16" s="114" t="str">
        <f>'Level 4'!$J$21</f>
        <v>45° CORNER</v>
      </c>
      <c r="S16" s="114">
        <f>'Level 4'!$L$21</f>
        <v>0</v>
      </c>
      <c r="T16" s="114" t="str">
        <f>'Level 4'!$J$22</f>
        <v>BRICKLEDGE</v>
      </c>
      <c r="U16" s="114">
        <f>'Level 4'!$L$22</f>
        <v>0</v>
      </c>
      <c r="V16" s="114" t="str">
        <f>'Level 4'!$J$23</f>
        <v>DOUBLE TAPER</v>
      </c>
      <c r="W16" s="114">
        <f>'Level 4'!$L$23</f>
        <v>0</v>
      </c>
      <c r="X16" s="114" t="str">
        <f>'Level 4'!$J$24</f>
        <v>BUILDDECK</v>
      </c>
      <c r="Y16" s="114">
        <f>'Level 4'!$L$24</f>
        <v>0</v>
      </c>
      <c r="Z16" s="117"/>
      <c r="AA16" s="117"/>
      <c r="AE16" s="115"/>
      <c r="AF16" s="115"/>
    </row>
    <row r="17" spans="2:35" ht="13.5" thickBot="1" x14ac:dyDescent="0.25">
      <c r="B17" s="510" t="str">
        <f ca="1">T29</f>
        <v/>
      </c>
      <c r="C17" s="499">
        <f ca="1">IF(ISNA(VLOOKUP(B17,N29:O39,2,FALSE)),0,VLOOKUP(B17,N29:O39,2,FALSE))</f>
        <v>0</v>
      </c>
      <c r="D17" s="500" t="str">
        <f ca="1">IF(ISNA(VLOOKUP(B17,$N$25:$Q$35,4,FALSE)),0,VLOOKUP(B17,$N$25:$Q$35,4,FALSE))&amp;"  ("&amp;IF(ISNA(U29),0,U29)&amp;")"</f>
        <v>0  (0)</v>
      </c>
      <c r="E17" s="501">
        <v>0</v>
      </c>
      <c r="F17" s="502">
        <f ca="1">IF(ISNA(U29),0,E17*U29)</f>
        <v>0</v>
      </c>
      <c r="G17" s="511" t="str">
        <f ca="1">T48</f>
        <v/>
      </c>
      <c r="H17" s="512">
        <f ca="1">IF(ISNA(VLOOKUP(G17,N48:O49,2,FALSE)),0,VLOOKUP(G17,N48:O49,2,FALSE))</f>
        <v>0</v>
      </c>
      <c r="I17" s="513" t="str">
        <f ca="1">IF(ISNA(VLOOKUP(G17,N48:Q49,4,FALSE)),0,VLOOKUP(G17,N48:Q49,4,FALSE))&amp;"  ("&amp;IF(ISNA(U48),0,U48)&amp;")"</f>
        <v>0  (0)</v>
      </c>
      <c r="J17" s="514">
        <v>0</v>
      </c>
      <c r="K17" s="515">
        <f ca="1">IF(ISNA(U48),0,J17*U48)</f>
        <v>0</v>
      </c>
      <c r="L17" s="465"/>
      <c r="M17" s="586" t="s">
        <v>84</v>
      </c>
      <c r="N17" s="587" t="str">
        <f>'Level 5'!$J$19</f>
        <v>Blocks</v>
      </c>
      <c r="O17" s="114">
        <f>'Level 5'!$L$19</f>
        <v>0</v>
      </c>
      <c r="P17" s="114" t="str">
        <f>'Level 5'!$J$20</f>
        <v>90° CORNER</v>
      </c>
      <c r="Q17" s="114">
        <f>'Level 5'!$L$20</f>
        <v>0</v>
      </c>
      <c r="R17" s="114" t="str">
        <f>'Level 5'!$J$21</f>
        <v>45° CORNER</v>
      </c>
      <c r="S17" s="114">
        <f>'Level 5'!$L$21</f>
        <v>0</v>
      </c>
      <c r="T17" s="114" t="str">
        <f>'Level 5'!$J$22</f>
        <v>BRICKLEDGE</v>
      </c>
      <c r="U17" s="114">
        <f>'Level 5'!$L$22</f>
        <v>0</v>
      </c>
      <c r="V17" s="114" t="str">
        <f>'Level 5'!$J$23</f>
        <v>DOUBLE TAPER</v>
      </c>
      <c r="W17" s="114">
        <f>'Level 5'!$L$23</f>
        <v>0</v>
      </c>
      <c r="X17" s="114" t="str">
        <f>'Level 5'!$J$24</f>
        <v>BUILDDECK</v>
      </c>
      <c r="Y17" s="114">
        <f>'Level 5'!$L$24</f>
        <v>0</v>
      </c>
      <c r="Z17" s="117"/>
      <c r="AA17" s="117"/>
      <c r="AE17" s="115"/>
      <c r="AF17" s="115"/>
    </row>
    <row r="18" spans="2:35" ht="13.5" thickBot="1" x14ac:dyDescent="0.25">
      <c r="B18" s="516" t="s">
        <v>227</v>
      </c>
      <c r="C18" s="517"/>
      <c r="D18" s="517">
        <f ca="1">SUM(D13:D17)</f>
        <v>0</v>
      </c>
      <c r="E18" s="517"/>
      <c r="F18" s="518">
        <f ca="1">SUM(F13:F17)</f>
        <v>0</v>
      </c>
      <c r="G18" s="519" t="str">
        <f ca="1">T49</f>
        <v/>
      </c>
      <c r="H18" s="520">
        <f ca="1">IF(ISNA(VLOOKUP(G18,N49:O50,2,FALSE)),0,VLOOKUP(G18,N49:O50,2,FALSE))</f>
        <v>0</v>
      </c>
      <c r="I18" s="513" t="str">
        <f ca="1">IF(ISNA(VLOOKUP(G18,N49:Q50,4,FALSE)),0,VLOOKUP(G18,N49:Q50,4,FALSE))&amp;"  ("&amp;IF(ISNA(U49),0,U49)&amp;")"</f>
        <v>0  (0)</v>
      </c>
      <c r="J18" s="521">
        <v>0</v>
      </c>
      <c r="K18" s="515">
        <f ca="1">IF(ISNA(U49),0,J18*U49)</f>
        <v>0</v>
      </c>
      <c r="L18" s="465"/>
      <c r="M18" s="586" t="s">
        <v>85</v>
      </c>
      <c r="N18" s="587" t="str">
        <f>'Level 6'!$J$19</f>
        <v>Blocks</v>
      </c>
      <c r="O18" s="114">
        <f>'Level 6'!$L$19</f>
        <v>0</v>
      </c>
      <c r="P18" s="114" t="str">
        <f>'Level 6'!$J$20</f>
        <v>90° CORNER</v>
      </c>
      <c r="Q18" s="114">
        <f>'Level 6'!$L$20</f>
        <v>0</v>
      </c>
      <c r="R18" s="114" t="str">
        <f>'Level 6'!$J$21</f>
        <v>45° CORNER</v>
      </c>
      <c r="S18" s="114">
        <f>'Level 6'!$L$21</f>
        <v>0</v>
      </c>
      <c r="T18" s="114" t="str">
        <f>'Level 6'!$J$22</f>
        <v>BRICKLEDGE</v>
      </c>
      <c r="U18" s="114">
        <f>'Level 6'!$L$22</f>
        <v>0</v>
      </c>
      <c r="V18" s="114" t="str">
        <f>'Level 6'!$J$23</f>
        <v>DOUBLE TAPER</v>
      </c>
      <c r="W18" s="114">
        <f>'Level 6'!$L$23</f>
        <v>0</v>
      </c>
      <c r="X18" s="114" t="str">
        <f>'Level 6'!$J$24</f>
        <v>BUILDDECK</v>
      </c>
      <c r="Y18" s="114">
        <f>'Level 6'!$L$24</f>
        <v>0</v>
      </c>
      <c r="Z18" s="117"/>
      <c r="AA18" s="117"/>
      <c r="AE18" s="115"/>
      <c r="AF18" s="115"/>
    </row>
    <row r="19" spans="2:35" ht="13.5" thickBot="1" x14ac:dyDescent="0.25">
      <c r="B19" s="482" t="s">
        <v>219</v>
      </c>
      <c r="C19" s="483" t="s">
        <v>108</v>
      </c>
      <c r="D19" s="483" t="s">
        <v>217</v>
      </c>
      <c r="E19" s="484" t="s">
        <v>218</v>
      </c>
      <c r="F19" s="485" t="s">
        <v>28</v>
      </c>
      <c r="G19" s="522" t="s">
        <v>227</v>
      </c>
      <c r="H19" s="523"/>
      <c r="I19" s="523">
        <f ca="1">SUM(I17:I18)</f>
        <v>0</v>
      </c>
      <c r="J19" s="523"/>
      <c r="K19" s="524">
        <f ca="1">SUM(K17:K18)</f>
        <v>0</v>
      </c>
      <c r="L19" s="465"/>
      <c r="M19" s="586" t="s">
        <v>86</v>
      </c>
      <c r="N19" s="587" t="str">
        <f>'Level 7'!$J$19</f>
        <v>Blocks</v>
      </c>
      <c r="O19" s="114">
        <f>'Level 7'!$L$19</f>
        <v>0</v>
      </c>
      <c r="P19" s="114" t="str">
        <f>'Level 7'!$J$20</f>
        <v>90° CORNER</v>
      </c>
      <c r="Q19" s="114">
        <f>'Level 7'!$L$20</f>
        <v>0</v>
      </c>
      <c r="R19" s="114" t="str">
        <f>'Level 7'!$J$21</f>
        <v>45° CORNER</v>
      </c>
      <c r="S19" s="114">
        <f>'Level 7'!$L$21</f>
        <v>0</v>
      </c>
      <c r="T19" s="114" t="str">
        <f>'Level 7'!$J$22</f>
        <v>BRICKLEDGE</v>
      </c>
      <c r="U19" s="114">
        <f>'Level 7'!$L$22</f>
        <v>0</v>
      </c>
      <c r="V19" s="114" t="str">
        <f>'Level 7'!$J$23</f>
        <v>DOUBLE TAPER</v>
      </c>
      <c r="W19" s="114">
        <f>'Level 7'!$L$23</f>
        <v>0</v>
      </c>
      <c r="X19" s="114" t="str">
        <f>'Level 7'!$J$24</f>
        <v>BUILDDECK</v>
      </c>
      <c r="Y19" s="114">
        <f>'Level 7'!$L$24</f>
        <v>0</v>
      </c>
      <c r="Z19" s="117"/>
      <c r="AA19" s="117"/>
      <c r="AE19" s="115"/>
      <c r="AF19" s="115"/>
    </row>
    <row r="20" spans="2:35" ht="13.5" thickBot="1" x14ac:dyDescent="0.25">
      <c r="B20" s="569" t="str">
        <f t="shared" ref="B20:B25" ca="1" si="0">T36</f>
        <v/>
      </c>
      <c r="C20" s="570">
        <f t="shared" ref="C20:C25" ca="1" si="1">IF(ISNA(VLOOKUP(B20,N36:O42,2,FALSE)),0,VLOOKUP(B20,N36:O42,2,FALSE))</f>
        <v>0</v>
      </c>
      <c r="D20" s="571" t="str">
        <f t="shared" ref="D20:D25" ca="1" si="2">IF(ISNA(VLOOKUP(B20,$N$36:$Q$42,4,FALSE)),0,VLOOKUP(B20,$N$36:$Q$42,4,FALSE))&amp;"  ("&amp;IF(ISNA(U36),0,U36)&amp;")"</f>
        <v>0  (0)</v>
      </c>
      <c r="E20" s="490">
        <v>0</v>
      </c>
      <c r="F20" s="491">
        <f t="shared" ref="F20:F25" ca="1" si="3">IF(ISNA(U36),0,E20*U36)</f>
        <v>0</v>
      </c>
      <c r="G20" s="506" t="s">
        <v>222</v>
      </c>
      <c r="H20" s="507" t="s">
        <v>108</v>
      </c>
      <c r="I20" s="507" t="s">
        <v>217</v>
      </c>
      <c r="J20" s="508" t="s">
        <v>218</v>
      </c>
      <c r="K20" s="509" t="s">
        <v>28</v>
      </c>
      <c r="L20" s="465"/>
      <c r="M20" s="586" t="s">
        <v>118</v>
      </c>
      <c r="N20" s="587" t="str">
        <f>'Level 8'!$J$19</f>
        <v>Blocks</v>
      </c>
      <c r="O20" s="114">
        <f>'Level 8'!$L$19</f>
        <v>0</v>
      </c>
      <c r="P20" s="114" t="str">
        <f>'Level 8'!$J$20</f>
        <v>90° CORNER</v>
      </c>
      <c r="Q20" s="114">
        <f>'Level 8'!$L$20</f>
        <v>0</v>
      </c>
      <c r="R20" s="114" t="str">
        <f>'Level 8'!$J$21</f>
        <v>45° CORNER</v>
      </c>
      <c r="S20" s="114">
        <f>'Level 8'!$L$21</f>
        <v>0</v>
      </c>
      <c r="T20" s="114" t="str">
        <f>'Level 8'!$J$22</f>
        <v>BRICKLEDGE</v>
      </c>
      <c r="U20" s="114">
        <f>'Level 8'!$L$22</f>
        <v>0</v>
      </c>
      <c r="V20" s="114" t="str">
        <f>'Level 8'!$J$23</f>
        <v>DOUBLE TAPER</v>
      </c>
      <c r="W20" s="114">
        <f>'Level 8'!$L$23</f>
        <v>0</v>
      </c>
      <c r="X20" s="114" t="str">
        <f>'Level 8'!$J$24</f>
        <v>BUILDDECK</v>
      </c>
      <c r="Y20" s="114">
        <f>'Level 8'!$L$24</f>
        <v>0</v>
      </c>
      <c r="Z20" s="117"/>
      <c r="AA20" s="117"/>
      <c r="AE20" s="115"/>
      <c r="AF20" s="115"/>
      <c r="AG20" s="115"/>
      <c r="AH20" s="115"/>
      <c r="AI20" s="115"/>
    </row>
    <row r="21" spans="2:35" ht="13.5" customHeight="1" x14ac:dyDescent="0.2">
      <c r="B21" s="548" t="str">
        <f t="shared" ca="1" si="0"/>
        <v/>
      </c>
      <c r="C21" s="549">
        <f t="shared" ca="1" si="1"/>
        <v>0</v>
      </c>
      <c r="D21" s="550" t="str">
        <f t="shared" ca="1" si="2"/>
        <v>0  (0)</v>
      </c>
      <c r="E21" s="496">
        <v>0</v>
      </c>
      <c r="F21" s="525">
        <f t="shared" ca="1" si="3"/>
        <v>0</v>
      </c>
      <c r="G21" s="487" t="str">
        <f ca="1">T50</f>
        <v/>
      </c>
      <c r="H21" s="488">
        <f ca="1">IF(ISNA(VLOOKUP(G21,N50:O52,2,FALSE)),0,VLOOKUP(G21,N50:O52,2,FALSE))</f>
        <v>0</v>
      </c>
      <c r="I21" s="489" t="str">
        <f ca="1">IF(ISNA(VLOOKUP(G21,N50:Q52,4,FALSE)),0,VLOOKUP(G21,N50:Q52,4,FALSE))&amp;"  ("&amp;IF(ISNA(U50),0,U50)&amp;")"</f>
        <v>0  (0)</v>
      </c>
      <c r="J21" s="490">
        <v>0</v>
      </c>
      <c r="K21" s="491">
        <f ca="1">IF(ISNA(U50),0,J21*U50)</f>
        <v>0</v>
      </c>
      <c r="L21" s="465"/>
      <c r="M21" s="586" t="s">
        <v>119</v>
      </c>
      <c r="N21" s="587" t="str">
        <f>'Level 9'!$J$19</f>
        <v>Blocks</v>
      </c>
      <c r="O21" s="114">
        <f>'Level 9'!$L$19</f>
        <v>0</v>
      </c>
      <c r="P21" s="114" t="str">
        <f>'Level 9'!$J$20</f>
        <v>90° CORNER</v>
      </c>
      <c r="Q21" s="114">
        <f>'Level 9'!$L$20</f>
        <v>0</v>
      </c>
      <c r="R21" s="114" t="str">
        <f>'Level 9'!$J$21</f>
        <v>45° CORNER</v>
      </c>
      <c r="S21" s="114">
        <f>'Level 9'!$L$21</f>
        <v>0</v>
      </c>
      <c r="T21" s="114" t="str">
        <f>'Level 9'!$J$22</f>
        <v>BRICKLEDGE</v>
      </c>
      <c r="U21" s="114">
        <f>'Level 9'!$L$22</f>
        <v>0</v>
      </c>
      <c r="V21" s="114" t="str">
        <f>'Level 9'!$J$23</f>
        <v>DOUBLE TAPER</v>
      </c>
      <c r="W21" s="114">
        <f>'Level 9'!$L$23</f>
        <v>0</v>
      </c>
      <c r="X21" s="114" t="str">
        <f>'Level 9'!$J$24</f>
        <v>BUILDDECK</v>
      </c>
      <c r="Y21" s="114">
        <f>'Level 9'!$L$24</f>
        <v>0</v>
      </c>
      <c r="Z21" s="117"/>
      <c r="AA21" s="117"/>
      <c r="AE21" s="115"/>
      <c r="AF21" s="115"/>
      <c r="AG21" s="115"/>
      <c r="AH21" s="115"/>
      <c r="AI21" s="115"/>
    </row>
    <row r="22" spans="2:35" ht="13.5" customHeight="1" x14ac:dyDescent="0.2">
      <c r="B22" s="493" t="str">
        <f t="shared" ca="1" si="0"/>
        <v/>
      </c>
      <c r="C22" s="494">
        <f t="shared" ca="1" si="1"/>
        <v>0</v>
      </c>
      <c r="D22" s="495" t="str">
        <f t="shared" ca="1" si="2"/>
        <v>0  (0)</v>
      </c>
      <c r="E22" s="496">
        <v>0</v>
      </c>
      <c r="F22" s="525">
        <f t="shared" ca="1" si="3"/>
        <v>0</v>
      </c>
      <c r="G22" s="493" t="str">
        <f ca="1">T51</f>
        <v/>
      </c>
      <c r="H22" s="494">
        <f ca="1">IF(ISNA(VLOOKUP(G22,N51:O53,2,FALSE)),0,VLOOKUP(G22,N51:O53,2,FALSE))</f>
        <v>0</v>
      </c>
      <c r="I22" s="513" t="str">
        <f ca="1">IF(ISNA(VLOOKUP(G22,N51:Q53,4,FALSE)),0,VLOOKUP(G22,N51:Q53,4,FALSE))&amp;"  ("&amp;IF(ISNA(U51),0,U51)&amp;")"</f>
        <v>0  (0)</v>
      </c>
      <c r="J22" s="496">
        <v>0</v>
      </c>
      <c r="K22" s="515">
        <f ca="1">IF(ISNA(U51),0,J22*U51)</f>
        <v>0</v>
      </c>
      <c r="L22" s="465"/>
      <c r="M22" s="586" t="s">
        <v>120</v>
      </c>
      <c r="N22" s="587" t="str">
        <f>'Level 10'!$J$19</f>
        <v>Blocks</v>
      </c>
      <c r="O22" s="114">
        <f>'Level 10'!$L$19</f>
        <v>0</v>
      </c>
      <c r="P22" s="114" t="str">
        <f>'Level 10'!$J$20</f>
        <v>90° CORNER</v>
      </c>
      <c r="Q22" s="114">
        <f>'Level 10'!$L$20</f>
        <v>0</v>
      </c>
      <c r="R22" s="114" t="str">
        <f>'Level 10'!$J$21</f>
        <v>45° CORNER</v>
      </c>
      <c r="S22" s="114">
        <f>'Level 10'!$L$21</f>
        <v>0</v>
      </c>
      <c r="T22" s="114" t="str">
        <f>'Level 10'!$J$22</f>
        <v>BRICKLEDGE</v>
      </c>
      <c r="U22" s="114">
        <f>'Level 10'!$L$22</f>
        <v>0</v>
      </c>
      <c r="V22" s="114" t="str">
        <f>'Level 10'!$J$23</f>
        <v>DOUBLE TAPER</v>
      </c>
      <c r="W22" s="114">
        <f>'Level 10'!$L$23</f>
        <v>0</v>
      </c>
      <c r="X22" s="114" t="str">
        <f>'Level 10'!$J$24</f>
        <v>BUILDDECK</v>
      </c>
      <c r="Y22" s="114">
        <f>'Level 10'!$L$24</f>
        <v>0</v>
      </c>
      <c r="Z22" s="117"/>
      <c r="AA22" s="117"/>
      <c r="AE22" s="115"/>
      <c r="AF22" s="115"/>
      <c r="AG22" s="115"/>
      <c r="AH22" s="115"/>
      <c r="AI22" s="115"/>
    </row>
    <row r="23" spans="2:35" ht="13.5" customHeight="1" x14ac:dyDescent="0.2">
      <c r="B23" s="493" t="str">
        <f t="shared" ca="1" si="0"/>
        <v/>
      </c>
      <c r="C23" s="494">
        <f t="shared" ca="1" si="1"/>
        <v>0</v>
      </c>
      <c r="D23" s="495" t="str">
        <f t="shared" ca="1" si="2"/>
        <v>0  (0)</v>
      </c>
      <c r="E23" s="496">
        <v>0</v>
      </c>
      <c r="F23" s="525">
        <f t="shared" ca="1" si="3"/>
        <v>0</v>
      </c>
      <c r="G23" s="519" t="str">
        <f ca="1">T52</f>
        <v/>
      </c>
      <c r="H23" s="520">
        <f ca="1">IF(ISNA(VLOOKUP(G23,N52:O54,2,FALSE)),0,VLOOKUP(G23,N52:O54,2,FALSE))</f>
        <v>0</v>
      </c>
      <c r="I23" s="526" t="str">
        <f ca="1">IF(ISNA(VLOOKUP(G23,N52:Q54,4,FALSE)),0,VLOOKUP(G23,N52:Q54,4,FALSE))&amp;"  ("&amp;IF(ISNA(U52),0,U52)&amp;")"</f>
        <v>0  (0)</v>
      </c>
      <c r="J23" s="521">
        <v>0</v>
      </c>
      <c r="K23" s="497">
        <f ca="1">IF(ISNA(U52),0,J23*U52)</f>
        <v>0</v>
      </c>
      <c r="L23" s="465"/>
      <c r="M23" s="69"/>
      <c r="O23" s="114"/>
      <c r="P23" s="114"/>
      <c r="Q23" s="114"/>
      <c r="R23" s="114"/>
      <c r="S23" s="114"/>
      <c r="T23" s="114"/>
      <c r="U23" s="114"/>
      <c r="V23" s="114"/>
      <c r="W23" s="114"/>
      <c r="X23" s="114"/>
      <c r="Y23" s="465"/>
      <c r="Z23" s="574"/>
      <c r="AA23" s="115"/>
      <c r="AB23" s="69"/>
      <c r="AC23" s="69"/>
      <c r="AD23" s="115"/>
      <c r="AE23" s="115"/>
      <c r="AF23" s="115"/>
      <c r="AG23" s="115"/>
      <c r="AH23" s="115"/>
      <c r="AI23" s="115"/>
    </row>
    <row r="24" spans="2:35" ht="13.5" customHeight="1" thickBot="1" x14ac:dyDescent="0.25">
      <c r="B24" s="493" t="str">
        <f t="shared" ca="1" si="0"/>
        <v/>
      </c>
      <c r="C24" s="494">
        <f t="shared" ca="1" si="1"/>
        <v>0</v>
      </c>
      <c r="D24" s="495" t="str">
        <f t="shared" ca="1" si="2"/>
        <v>0  (0)</v>
      </c>
      <c r="E24" s="496">
        <v>0</v>
      </c>
      <c r="F24" s="525">
        <f t="shared" ca="1" si="3"/>
        <v>0</v>
      </c>
      <c r="G24" s="581" t="s">
        <v>74</v>
      </c>
      <c r="H24" s="582"/>
      <c r="I24" s="582">
        <f>SUM('Level 1:Level 10'!K14)</f>
        <v>0</v>
      </c>
      <c r="J24" s="521">
        <v>0</v>
      </c>
      <c r="K24" s="583">
        <f>I24*J24</f>
        <v>0</v>
      </c>
      <c r="L24" s="465"/>
      <c r="M24" s="69"/>
      <c r="N24" s="114"/>
      <c r="O24" s="114"/>
      <c r="P24" s="114"/>
      <c r="Q24" s="114"/>
      <c r="R24" s="114"/>
      <c r="S24" s="114"/>
      <c r="T24" s="114"/>
      <c r="U24" s="114"/>
      <c r="V24" s="114"/>
      <c r="W24" s="114"/>
      <c r="X24" s="114"/>
      <c r="Y24" s="465"/>
      <c r="Z24" s="574"/>
      <c r="AA24" s="115"/>
      <c r="AB24" s="69"/>
      <c r="AC24" s="69"/>
      <c r="AD24" s="115"/>
      <c r="AE24" s="115"/>
      <c r="AF24" s="115"/>
      <c r="AG24" s="115"/>
      <c r="AH24" s="115"/>
      <c r="AI24" s="115"/>
    </row>
    <row r="25" spans="2:35" ht="13.5" thickBot="1" x14ac:dyDescent="0.25">
      <c r="B25" s="510" t="str">
        <f t="shared" ca="1" si="0"/>
        <v/>
      </c>
      <c r="C25" s="499">
        <f t="shared" ca="1" si="1"/>
        <v>0</v>
      </c>
      <c r="D25" s="500" t="str">
        <f t="shared" ca="1" si="2"/>
        <v>0  (0)</v>
      </c>
      <c r="E25" s="501">
        <v>0</v>
      </c>
      <c r="F25" s="527">
        <f t="shared" ca="1" si="3"/>
        <v>0</v>
      </c>
      <c r="G25" s="522" t="s">
        <v>227</v>
      </c>
      <c r="H25" s="523"/>
      <c r="I25" s="523">
        <f ca="1">SUM(I21:I23)</f>
        <v>0</v>
      </c>
      <c r="J25" s="523"/>
      <c r="K25" s="524">
        <f ca="1">SUM(K21:K24)</f>
        <v>0</v>
      </c>
      <c r="N25" s="119" t="s">
        <v>0</v>
      </c>
      <c r="O25" s="119">
        <f>SUMIF($N$13:$N$22,N25,$O$13:$O$22)</f>
        <v>0</v>
      </c>
      <c r="P25" s="119">
        <v>15</v>
      </c>
      <c r="Q25" s="119">
        <f>ROUNDUP(O25/P25,0)</f>
        <v>0</v>
      </c>
      <c r="R25" s="119">
        <f>Q25*P25</f>
        <v>0</v>
      </c>
      <c r="S25" s="119" t="str">
        <f>IF(O25&gt;0,N25,"")</f>
        <v/>
      </c>
      <c r="T25" s="119" t="str">
        <f t="array" aca="1" ref="T25" ca="1">IFERROR(INDEX(BlocksA,SMALL((IF(LEN(BlocksA),ROW(INDIRECT("1:"&amp;ROWS(BlocksA))))),ROW(A1)),1),"")</f>
        <v/>
      </c>
      <c r="U25" s="114" t="e">
        <f ca="1">VLOOKUP(T25,N25:T35,5,FALSE)</f>
        <v>#N/A</v>
      </c>
      <c r="V25" s="114"/>
      <c r="W25" s="114"/>
      <c r="X25" s="114"/>
      <c r="Y25" s="465"/>
      <c r="Z25" s="574"/>
      <c r="AA25" s="115"/>
      <c r="AB25" s="69"/>
      <c r="AC25" s="69"/>
      <c r="AD25" s="115"/>
      <c r="AE25" s="115"/>
      <c r="AF25" s="115"/>
      <c r="AG25" s="115"/>
      <c r="AH25" s="115"/>
      <c r="AI25" s="115"/>
    </row>
    <row r="26" spans="2:35" ht="13.5" thickBot="1" x14ac:dyDescent="0.25">
      <c r="B26" s="516" t="s">
        <v>227</v>
      </c>
      <c r="C26" s="517"/>
      <c r="D26" s="517">
        <f ca="1">SUM(D20:D25)</f>
        <v>0</v>
      </c>
      <c r="E26" s="517"/>
      <c r="F26" s="518">
        <f ca="1">SUM(F20:F25)</f>
        <v>0</v>
      </c>
      <c r="G26" s="643" t="s">
        <v>549</v>
      </c>
      <c r="H26" s="644"/>
      <c r="I26" s="507" t="s">
        <v>108</v>
      </c>
      <c r="J26" s="507" t="s">
        <v>218</v>
      </c>
      <c r="K26" s="528" t="s">
        <v>28</v>
      </c>
      <c r="L26" s="529"/>
      <c r="M26" s="588"/>
      <c r="N26" s="119" t="s">
        <v>200</v>
      </c>
      <c r="O26" s="119">
        <f t="shared" ref="O26:O35" si="4">SUMIF($N$13:$N$22,N26,$O$13:$O$22)</f>
        <v>0</v>
      </c>
      <c r="P26" s="119">
        <v>16</v>
      </c>
      <c r="Q26" s="119">
        <f t="shared" ref="Q26:Q52" si="5">ROUNDUP(O26/P26,0)</f>
        <v>0</v>
      </c>
      <c r="R26" s="119">
        <f t="shared" ref="R26:R52" si="6">Q26*P26</f>
        <v>0</v>
      </c>
      <c r="S26" s="119" t="str">
        <f t="shared" ref="S26:S52" si="7">IF(O26&gt;0,N26,"")</f>
        <v/>
      </c>
      <c r="T26" s="119" t="str">
        <f t="array" aca="1" ref="T26" ca="1">IFERROR(INDEX(BlocksA,SMALL((IF(LEN(BlocksA),ROW(INDIRECT("1:"&amp;ROWS(BlocksA))))),ROW(A2)),1),"")</f>
        <v/>
      </c>
      <c r="U26" s="114" t="e">
        <f t="shared" ref="U26:U31" ca="1" si="8">VLOOKUP(T26,N26:T35,5,FALSE)</f>
        <v>#N/A</v>
      </c>
      <c r="V26" s="119"/>
      <c r="W26" s="119"/>
      <c r="X26" s="119"/>
      <c r="Y26" s="575"/>
      <c r="Z26" s="575"/>
      <c r="AA26" s="115"/>
      <c r="AB26" s="69"/>
      <c r="AC26" s="69"/>
      <c r="AD26" s="115"/>
      <c r="AE26" s="115"/>
      <c r="AF26" s="115"/>
      <c r="AG26" s="115"/>
      <c r="AH26" s="115"/>
      <c r="AI26" s="115"/>
    </row>
    <row r="27" spans="2:35" ht="13.5" thickBot="1" x14ac:dyDescent="0.25">
      <c r="B27" s="530" t="s">
        <v>220</v>
      </c>
      <c r="C27" s="507" t="s">
        <v>108</v>
      </c>
      <c r="D27" s="507" t="s">
        <v>217</v>
      </c>
      <c r="E27" s="508" t="s">
        <v>218</v>
      </c>
      <c r="F27" s="531" t="s">
        <v>28</v>
      </c>
      <c r="G27" s="645" t="s">
        <v>553</v>
      </c>
      <c r="H27" s="646"/>
      <c r="I27" s="551">
        <f>SUMIF(N59:N68,"BBUCK-400",Q59:Q68)</f>
        <v>0</v>
      </c>
      <c r="J27" s="490">
        <v>0</v>
      </c>
      <c r="K27" s="491">
        <f>I27*J27</f>
        <v>0</v>
      </c>
      <c r="L27" s="529"/>
      <c r="M27" s="588"/>
      <c r="N27" s="119" t="s">
        <v>199</v>
      </c>
      <c r="O27" s="119">
        <f t="shared" si="4"/>
        <v>0</v>
      </c>
      <c r="P27" s="119">
        <v>15</v>
      </c>
      <c r="Q27" s="119">
        <f t="shared" si="5"/>
        <v>0</v>
      </c>
      <c r="R27" s="119">
        <f t="shared" si="6"/>
        <v>0</v>
      </c>
      <c r="S27" s="119" t="str">
        <f t="shared" si="7"/>
        <v/>
      </c>
      <c r="T27" s="119" t="str">
        <f t="array" aca="1" ref="T27" ca="1">IFERROR(INDEX(BlocksA,SMALL((IF(LEN(BlocksA),ROW(INDIRECT("1:"&amp;ROWS(BlocksA))))),ROW(A3)),1),"")</f>
        <v/>
      </c>
      <c r="U27" s="114" t="e">
        <f t="shared" ca="1" si="8"/>
        <v>#N/A</v>
      </c>
      <c r="V27" s="589"/>
      <c r="W27" s="119"/>
      <c r="X27" s="590"/>
      <c r="Y27" s="576"/>
      <c r="Z27" s="575"/>
      <c r="AA27" s="115"/>
      <c r="AB27" s="69"/>
      <c r="AC27" s="69"/>
      <c r="AD27" s="115"/>
      <c r="AE27" s="115"/>
      <c r="AF27" s="115"/>
      <c r="AG27" s="115"/>
      <c r="AH27" s="115"/>
      <c r="AI27" s="115"/>
    </row>
    <row r="28" spans="2:35" ht="13.5" customHeight="1" x14ac:dyDescent="0.2">
      <c r="B28" s="532" t="str">
        <f ca="1">T43</f>
        <v/>
      </c>
      <c r="C28" s="512">
        <f ca="1">IF(ISNA(VLOOKUP(B28,N43:O45,2,FALSE)),0,VLOOKUP(B28,N43:O45,2,FALSE))</f>
        <v>0</v>
      </c>
      <c r="D28" s="513" t="str">
        <f ca="1">IF(ISNA(VLOOKUP(B28,N43:Q45,4,FALSE)),0,VLOOKUP(B28,N43:Q45,4,FALSE))&amp;"  ("&amp;IF(ISNA(U43),0,U43)&amp;")"</f>
        <v>0  (0)</v>
      </c>
      <c r="E28" s="514">
        <v>0</v>
      </c>
      <c r="F28" s="515">
        <f ca="1">IF(ISNA(U43),0,E28*U43)</f>
        <v>0</v>
      </c>
      <c r="G28" s="595" t="s">
        <v>543</v>
      </c>
      <c r="H28" s="596"/>
      <c r="I28" s="552">
        <f>SUMIF(N59:N68,"BBUCK-600",Q59:Q68)</f>
        <v>0</v>
      </c>
      <c r="J28" s="496">
        <v>0</v>
      </c>
      <c r="K28" s="515">
        <f>I28*J28</f>
        <v>0</v>
      </c>
      <c r="L28" s="529"/>
      <c r="M28" s="588"/>
      <c r="N28" s="119" t="s">
        <v>1</v>
      </c>
      <c r="O28" s="119">
        <f t="shared" si="4"/>
        <v>0</v>
      </c>
      <c r="P28" s="119">
        <v>12</v>
      </c>
      <c r="Q28" s="119">
        <f t="shared" si="5"/>
        <v>0</v>
      </c>
      <c r="R28" s="119">
        <f t="shared" si="6"/>
        <v>0</v>
      </c>
      <c r="S28" s="119" t="str">
        <f t="shared" si="7"/>
        <v/>
      </c>
      <c r="T28" s="119" t="str">
        <f t="array" aca="1" ref="T28" ca="1">IFERROR(INDEX(BlocksA,SMALL((IF(LEN(BlocksA),ROW(INDIRECT("1:"&amp;ROWS(BlocksA))))),ROW(A4)),1),"")</f>
        <v/>
      </c>
      <c r="U28" s="114" t="e">
        <f t="shared" ca="1" si="8"/>
        <v>#N/A</v>
      </c>
      <c r="V28" s="589"/>
      <c r="W28" s="119"/>
      <c r="X28" s="590"/>
      <c r="Y28" s="576"/>
      <c r="Z28" s="575"/>
      <c r="AA28" s="115"/>
      <c r="AB28" s="69"/>
      <c r="AC28" s="69"/>
      <c r="AD28" s="115"/>
      <c r="AE28" s="115"/>
      <c r="AF28" s="115"/>
      <c r="AG28" s="115"/>
      <c r="AH28" s="115"/>
      <c r="AI28" s="115"/>
    </row>
    <row r="29" spans="2:35" ht="13.5" customHeight="1" x14ac:dyDescent="0.2">
      <c r="B29" s="493" t="str">
        <f ca="1">T44</f>
        <v/>
      </c>
      <c r="C29" s="494">
        <f ca="1">IF(ISNA(VLOOKUP(B29,N44:O46,2,FALSE)),0,VLOOKUP(B29,N44:O46,2,FALSE))</f>
        <v>0</v>
      </c>
      <c r="D29" s="513" t="str">
        <f ca="1">IF(ISNA(VLOOKUP(B29,N44:Q46,4,FALSE)),0,VLOOKUP(B29,N44:Q46,4,FALSE))&amp;"  ("&amp;IF(ISNA(U44),0,U44)&amp;")"</f>
        <v>0  (0)</v>
      </c>
      <c r="E29" s="496">
        <v>0</v>
      </c>
      <c r="F29" s="515">
        <f ca="1">IF(ISNA(U44),0,E29*U44)</f>
        <v>0</v>
      </c>
      <c r="G29" s="597" t="s">
        <v>544</v>
      </c>
      <c r="H29" s="598"/>
      <c r="I29" s="552">
        <f>SUMIF(N59:N68,"BBUCK-800",Q59:Q68)</f>
        <v>0</v>
      </c>
      <c r="J29" s="534">
        <v>0</v>
      </c>
      <c r="K29" s="515">
        <f>I29*J29</f>
        <v>0</v>
      </c>
      <c r="L29" s="529"/>
      <c r="M29" s="588"/>
      <c r="N29" s="119" t="s">
        <v>202</v>
      </c>
      <c r="O29" s="119">
        <f t="shared" si="4"/>
        <v>0</v>
      </c>
      <c r="P29" s="119">
        <v>16</v>
      </c>
      <c r="Q29" s="119">
        <f t="shared" si="5"/>
        <v>0</v>
      </c>
      <c r="R29" s="119">
        <f t="shared" si="6"/>
        <v>0</v>
      </c>
      <c r="S29" s="119" t="str">
        <f t="shared" si="7"/>
        <v/>
      </c>
      <c r="T29" s="119" t="str">
        <f t="array" aca="1" ref="T29" ca="1">IFERROR(INDEX(BlocksA,SMALL((IF(LEN(BlocksA),ROW(INDIRECT("1:"&amp;ROWS(BlocksA))))),ROW(A5)),1),"")</f>
        <v/>
      </c>
      <c r="U29" s="114" t="e">
        <f t="shared" ca="1" si="8"/>
        <v>#N/A</v>
      </c>
      <c r="V29" s="591" t="s">
        <v>228</v>
      </c>
      <c r="W29" s="592">
        <f>'Level 1'!$D$33</f>
        <v>0</v>
      </c>
      <c r="X29" s="592">
        <f>'Level 1'!$L$16</f>
        <v>0</v>
      </c>
      <c r="Y29" s="576"/>
      <c r="Z29" s="575"/>
      <c r="AA29" s="115"/>
      <c r="AB29" s="69"/>
      <c r="AC29" s="69"/>
      <c r="AD29" s="115"/>
      <c r="AE29" s="115"/>
      <c r="AF29" s="115"/>
      <c r="AG29" s="115"/>
      <c r="AH29" s="115"/>
      <c r="AI29" s="115"/>
    </row>
    <row r="30" spans="2:35" ht="13.5" thickBot="1" x14ac:dyDescent="0.25">
      <c r="B30" s="519" t="str">
        <f ca="1">T45</f>
        <v/>
      </c>
      <c r="C30" s="520">
        <f ca="1">IF(ISNA(VLOOKUP(B30,N45:O47,2,FALSE)),0,VLOOKUP(B30,N45:O47,2,FALSE))</f>
        <v>0</v>
      </c>
      <c r="D30" s="513" t="str">
        <f ca="1">IF(ISNA(VLOOKUP(B30,N45:Q47,4,FALSE)),0,VLOOKUP(B30,N45:Q47,4,FALSE))&amp;"  ("&amp;IF(ISNA(U45),0,U45)&amp;")"</f>
        <v>0  (0)</v>
      </c>
      <c r="E30" s="521">
        <v>0</v>
      </c>
      <c r="F30" s="515">
        <f ca="1">IF(ISNA(U45),0,E30*U45)</f>
        <v>0</v>
      </c>
      <c r="G30" s="599" t="s">
        <v>537</v>
      </c>
      <c r="H30" s="600"/>
      <c r="I30" s="580">
        <f>SUMIF(N59:N68,"BUCK LINEAR FEET",Q59:Q68)</f>
        <v>0</v>
      </c>
      <c r="J30" s="534">
        <v>0</v>
      </c>
      <c r="K30" s="515">
        <f>I30*J30</f>
        <v>0</v>
      </c>
      <c r="L30" s="529"/>
      <c r="M30" s="588"/>
      <c r="N30" s="119" t="s">
        <v>201</v>
      </c>
      <c r="O30" s="119">
        <f t="shared" si="4"/>
        <v>0</v>
      </c>
      <c r="P30" s="119">
        <v>12</v>
      </c>
      <c r="Q30" s="119">
        <f t="shared" si="5"/>
        <v>0</v>
      </c>
      <c r="R30" s="119">
        <f t="shared" si="6"/>
        <v>0</v>
      </c>
      <c r="S30" s="119" t="str">
        <f t="shared" si="7"/>
        <v/>
      </c>
      <c r="T30" s="119" t="str">
        <f t="array" aca="1" ref="T30" ca="1">IFERROR(INDEX(BlocksA,SMALL((IF(LEN(BlocksA),ROW(INDIRECT("1:"&amp;ROWS(BlocksA))))),ROW(A6)),1),"")</f>
        <v/>
      </c>
      <c r="U30" s="114" t="e">
        <f t="shared" ca="1" si="8"/>
        <v>#N/A</v>
      </c>
      <c r="V30" s="591" t="s">
        <v>229</v>
      </c>
      <c r="W30" s="592">
        <f>'Level 2'!$D$33</f>
        <v>0</v>
      </c>
      <c r="X30" s="592">
        <f>'Level 2'!$L$16</f>
        <v>0</v>
      </c>
      <c r="Y30" s="575"/>
      <c r="Z30" s="575"/>
      <c r="AA30" s="115"/>
      <c r="AB30" s="69"/>
      <c r="AC30" s="69"/>
      <c r="AD30" s="115"/>
      <c r="AE30" s="115"/>
      <c r="AF30" s="115"/>
      <c r="AG30" s="115"/>
      <c r="AH30" s="115"/>
      <c r="AI30" s="115"/>
    </row>
    <row r="31" spans="2:35" ht="13.5" thickBot="1" x14ac:dyDescent="0.25">
      <c r="B31" s="535" t="s">
        <v>227</v>
      </c>
      <c r="C31" s="536"/>
      <c r="D31" s="536">
        <f ca="1">SUM(D28:D30)</f>
        <v>0</v>
      </c>
      <c r="E31" s="536"/>
      <c r="F31" s="537">
        <f ca="1">SUM(F28:F30)</f>
        <v>0</v>
      </c>
      <c r="G31" s="617"/>
      <c r="H31" s="618"/>
      <c r="I31" s="579"/>
      <c r="J31" s="578">
        <v>0</v>
      </c>
      <c r="K31" s="577">
        <v>0</v>
      </c>
      <c r="L31" s="529"/>
      <c r="M31" s="588"/>
      <c r="N31" s="119" t="s">
        <v>2</v>
      </c>
      <c r="O31" s="119">
        <f t="shared" si="4"/>
        <v>0</v>
      </c>
      <c r="P31" s="119">
        <v>12</v>
      </c>
      <c r="Q31" s="119">
        <f t="shared" si="5"/>
        <v>0</v>
      </c>
      <c r="R31" s="119">
        <f t="shared" si="6"/>
        <v>0</v>
      </c>
      <c r="S31" s="119" t="str">
        <f t="shared" si="7"/>
        <v/>
      </c>
      <c r="T31" s="119" t="str">
        <f t="array" aca="1" ref="T31" ca="1">IFERROR(INDEX(BlocksA,SMALL((IF(LEN(BlocksA),ROW(INDIRECT("1:"&amp;ROWS(BlocksA))))),ROW(A7)),1),"")</f>
        <v/>
      </c>
      <c r="U31" s="114" t="e">
        <f t="shared" ca="1" si="8"/>
        <v>#N/A</v>
      </c>
      <c r="V31" s="591" t="s">
        <v>230</v>
      </c>
      <c r="W31" s="592">
        <f>'Level 3'!$D$33</f>
        <v>0</v>
      </c>
      <c r="X31" s="592">
        <f>'Level 3'!$L$16</f>
        <v>0</v>
      </c>
      <c r="Y31" s="575"/>
      <c r="Z31" s="575"/>
      <c r="AA31" s="115"/>
      <c r="AB31" s="69"/>
      <c r="AC31" s="69"/>
      <c r="AD31" s="115"/>
      <c r="AE31" s="115"/>
      <c r="AF31" s="115"/>
      <c r="AG31" s="115"/>
      <c r="AH31" s="115"/>
      <c r="AI31" s="115"/>
    </row>
    <row r="32" spans="2:35" ht="13.5" thickBot="1" x14ac:dyDescent="0.25">
      <c r="B32" s="621" t="s">
        <v>337</v>
      </c>
      <c r="C32" s="622"/>
      <c r="D32" s="563" t="s">
        <v>108</v>
      </c>
      <c r="E32" s="507" t="s">
        <v>218</v>
      </c>
      <c r="F32" s="564" t="s">
        <v>28</v>
      </c>
      <c r="G32" s="595"/>
      <c r="H32" s="596"/>
      <c r="I32" s="552"/>
      <c r="J32" s="578">
        <v>0</v>
      </c>
      <c r="K32" s="577">
        <v>0</v>
      </c>
      <c r="L32" s="529"/>
      <c r="M32" s="588"/>
      <c r="N32" s="119"/>
      <c r="O32" s="119"/>
      <c r="P32" s="119"/>
      <c r="Q32" s="119"/>
      <c r="R32" s="119"/>
      <c r="S32" s="119"/>
      <c r="T32" s="119"/>
      <c r="U32" s="114"/>
      <c r="V32" s="591"/>
      <c r="W32" s="592"/>
      <c r="X32" s="592"/>
      <c r="Y32" s="575"/>
      <c r="Z32" s="575"/>
      <c r="AA32" s="115"/>
      <c r="AB32" s="69"/>
      <c r="AC32" s="69"/>
      <c r="AD32" s="115"/>
      <c r="AE32" s="115"/>
      <c r="AF32" s="115"/>
      <c r="AG32" s="115"/>
      <c r="AH32" s="115"/>
      <c r="AI32" s="115"/>
    </row>
    <row r="33" spans="1:35" ht="13.5" customHeight="1" x14ac:dyDescent="0.2">
      <c r="B33" s="627" t="s">
        <v>546</v>
      </c>
      <c r="C33" s="628"/>
      <c r="D33" s="561">
        <f>SUM('Level 1:Level 10'!G17)</f>
        <v>0</v>
      </c>
      <c r="E33" s="562">
        <v>0</v>
      </c>
      <c r="F33" s="515">
        <f>D33*E33</f>
        <v>0</v>
      </c>
      <c r="G33" s="597"/>
      <c r="H33" s="598"/>
      <c r="I33" s="552"/>
      <c r="J33" s="578">
        <v>0</v>
      </c>
      <c r="K33" s="577">
        <v>0</v>
      </c>
      <c r="L33" s="529"/>
      <c r="M33" s="119"/>
      <c r="N33" s="119" t="s">
        <v>203</v>
      </c>
      <c r="O33" s="119">
        <f t="shared" si="4"/>
        <v>0</v>
      </c>
      <c r="P33" s="119">
        <v>16</v>
      </c>
      <c r="Q33" s="119">
        <f t="shared" si="5"/>
        <v>0</v>
      </c>
      <c r="R33" s="119">
        <f t="shared" si="6"/>
        <v>0</v>
      </c>
      <c r="S33" s="119" t="str">
        <f t="shared" si="7"/>
        <v/>
      </c>
      <c r="T33" s="119" t="str">
        <f t="array" aca="1" ref="T33" ca="1">IFERROR(INDEX(BlocksA,SMALL((IF(LEN(BlocksA),ROW(INDIRECT("1:"&amp;ROWS(BlocksA))))),ROW(A8)),1),"")</f>
        <v/>
      </c>
      <c r="U33" s="114" t="e">
        <f t="shared" ref="U33:U52" ca="1" si="9">VLOOKUP(T33,N33:T41,5,FALSE)</f>
        <v>#N/A</v>
      </c>
      <c r="V33" s="591" t="s">
        <v>231</v>
      </c>
      <c r="W33" s="592">
        <f>'Level 4'!$D$33</f>
        <v>0</v>
      </c>
      <c r="X33" s="592">
        <f>'Level 4'!$L$16</f>
        <v>0</v>
      </c>
      <c r="Y33" s="575"/>
      <c r="Z33" s="575"/>
      <c r="AA33" s="115"/>
      <c r="AB33" s="69"/>
      <c r="AC33" s="69"/>
      <c r="AD33" s="115"/>
      <c r="AE33" s="115"/>
      <c r="AF33" s="115"/>
      <c r="AG33" s="115"/>
      <c r="AH33" s="115"/>
      <c r="AI33" s="115"/>
    </row>
    <row r="34" spans="1:35" ht="13.5" customHeight="1" thickBot="1" x14ac:dyDescent="0.25">
      <c r="B34" s="567" t="s">
        <v>223</v>
      </c>
      <c r="C34" s="553" t="s">
        <v>226</v>
      </c>
      <c r="D34" s="554">
        <f>SUM('Level 1:Level 10'!G19)</f>
        <v>0</v>
      </c>
      <c r="E34" s="538">
        <v>0</v>
      </c>
      <c r="F34" s="566">
        <f>D34*E34</f>
        <v>0</v>
      </c>
      <c r="G34" s="619"/>
      <c r="H34" s="620"/>
      <c r="I34" s="533"/>
      <c r="J34" s="560">
        <v>0</v>
      </c>
      <c r="K34" s="565">
        <v>0</v>
      </c>
      <c r="L34" s="539"/>
      <c r="M34" s="119"/>
      <c r="N34" s="119" t="s">
        <v>3</v>
      </c>
      <c r="O34" s="119">
        <f t="shared" si="4"/>
        <v>0</v>
      </c>
      <c r="P34" s="119">
        <v>16</v>
      </c>
      <c r="Q34" s="119">
        <f t="shared" si="5"/>
        <v>0</v>
      </c>
      <c r="R34" s="119">
        <f t="shared" si="6"/>
        <v>0</v>
      </c>
      <c r="S34" s="119" t="str">
        <f t="shared" si="7"/>
        <v/>
      </c>
      <c r="T34" s="119" t="str">
        <f t="array" aca="1" ref="T34" ca="1">IFERROR(INDEX(BlocksA,SMALL((IF(LEN(BlocksA),ROW(INDIRECT("1:"&amp;ROWS(BlocksA))))),ROW(A9)),1),"")</f>
        <v/>
      </c>
      <c r="U34" s="114" t="e">
        <f t="shared" ca="1" si="9"/>
        <v>#N/A</v>
      </c>
      <c r="V34" s="591" t="s">
        <v>232</v>
      </c>
      <c r="W34" s="592">
        <f>'Level 5'!$D$33</f>
        <v>0</v>
      </c>
      <c r="X34" s="592">
        <f>'Level 5'!$L$16</f>
        <v>0</v>
      </c>
      <c r="Y34" s="575"/>
      <c r="Z34" s="575"/>
      <c r="AA34" s="115"/>
      <c r="AB34" s="69"/>
      <c r="AC34" s="69"/>
      <c r="AD34" s="115"/>
      <c r="AE34" s="115"/>
      <c r="AF34" s="115"/>
      <c r="AG34" s="115"/>
      <c r="AH34" s="115"/>
      <c r="AI34" s="115"/>
    </row>
    <row r="35" spans="1:35" ht="13.5" thickBot="1" x14ac:dyDescent="0.25">
      <c r="A35" s="115"/>
      <c r="B35" s="642" t="s">
        <v>255</v>
      </c>
      <c r="C35" s="642"/>
      <c r="D35" s="642"/>
      <c r="E35" s="642"/>
      <c r="F35" s="642"/>
      <c r="G35" s="642"/>
      <c r="H35" s="642"/>
      <c r="I35" s="478" t="s">
        <v>25</v>
      </c>
      <c r="J35" s="634">
        <f ca="1">F18+F26+F31+K15+K19+K25+K27+K28+K29+K30+F33+F34+K31+K32+K33+K34</f>
        <v>0</v>
      </c>
      <c r="K35" s="634"/>
      <c r="L35" s="465"/>
      <c r="M35" s="119"/>
      <c r="N35" s="119" t="s">
        <v>4</v>
      </c>
      <c r="O35" s="119">
        <f t="shared" si="4"/>
        <v>0</v>
      </c>
      <c r="P35" s="119">
        <v>16</v>
      </c>
      <c r="Q35" s="119">
        <f t="shared" si="5"/>
        <v>0</v>
      </c>
      <c r="R35" s="119">
        <f t="shared" si="6"/>
        <v>0</v>
      </c>
      <c r="S35" s="119" t="str">
        <f t="shared" si="7"/>
        <v/>
      </c>
      <c r="T35" s="119" t="str">
        <f t="array" aca="1" ref="T35" ca="1">IFERROR(INDEX(BlocksA,SMALL((IF(LEN(BlocksA),ROW(INDIRECT("1:"&amp;ROWS(BlocksA))))),ROW(A10)),1),"")</f>
        <v/>
      </c>
      <c r="U35" s="114" t="e">
        <f t="shared" ca="1" si="9"/>
        <v>#N/A</v>
      </c>
      <c r="V35" s="591" t="s">
        <v>233</v>
      </c>
      <c r="W35" s="592">
        <f>'Level 6'!$D$33</f>
        <v>0</v>
      </c>
      <c r="X35" s="592">
        <f>'Level 6'!$L$16</f>
        <v>0</v>
      </c>
      <c r="Y35" s="576"/>
      <c r="Z35" s="575"/>
      <c r="AA35" s="115"/>
      <c r="AB35" s="69"/>
      <c r="AC35" s="69"/>
      <c r="AD35" s="115"/>
      <c r="AE35" s="115"/>
      <c r="AF35" s="115"/>
      <c r="AG35" s="115"/>
      <c r="AH35" s="115"/>
      <c r="AI35" s="115"/>
    </row>
    <row r="36" spans="1:35" ht="13.5" customHeight="1" thickBot="1" x14ac:dyDescent="0.25">
      <c r="A36" s="115"/>
      <c r="B36" s="651" t="s">
        <v>239</v>
      </c>
      <c r="C36" s="636"/>
      <c r="D36" s="540">
        <f>ROUNDUP(W40,0)</f>
        <v>0</v>
      </c>
      <c r="E36" s="652" t="str">
        <f ca="1">K69</f>
        <v/>
      </c>
      <c r="F36" s="653"/>
      <c r="G36" s="631" t="str">
        <f ca="1">IF(ISNA(VLOOKUP(E36,C69:K74,7,FALSE)),"",VLOOKUP(E36,C69:K74,7,FALSE))</f>
        <v/>
      </c>
      <c r="H36" s="632"/>
      <c r="I36" s="541" t="s">
        <v>26</v>
      </c>
      <c r="J36" s="542">
        <v>0</v>
      </c>
      <c r="K36" s="543">
        <f ca="1">J35*J36</f>
        <v>0</v>
      </c>
      <c r="L36" s="465"/>
      <c r="M36" s="69"/>
      <c r="N36" s="119" t="s">
        <v>42</v>
      </c>
      <c r="O36" s="119">
        <f t="shared" ref="O36:O42" si="10">SUMIF($P$13:$P$22,N36,$Q$13:$Q$22)</f>
        <v>0</v>
      </c>
      <c r="P36" s="119">
        <v>12</v>
      </c>
      <c r="Q36" s="119">
        <f t="shared" si="5"/>
        <v>0</v>
      </c>
      <c r="R36" s="119">
        <f t="shared" si="6"/>
        <v>0</v>
      </c>
      <c r="S36" s="119" t="str">
        <f t="shared" si="7"/>
        <v/>
      </c>
      <c r="T36" s="119" t="str">
        <f t="array" aca="1" ref="T36" ca="1">IFERROR(INDEX(NinetiesA,SMALL((IF(LEN(NinetiesA),ROW(INDIRECT("1:"&amp;ROWS(NinetiesA))))),ROW(A1)),1),"")</f>
        <v/>
      </c>
      <c r="U36" s="114" t="e">
        <f t="shared" ca="1" si="9"/>
        <v>#N/A</v>
      </c>
      <c r="V36" s="591" t="s">
        <v>234</v>
      </c>
      <c r="W36" s="592">
        <f>'Level 7'!$D$33</f>
        <v>0</v>
      </c>
      <c r="X36" s="592">
        <f>'Level 7'!$L$16</f>
        <v>0</v>
      </c>
      <c r="Y36" s="576"/>
      <c r="Z36" s="575"/>
      <c r="AA36" s="115"/>
      <c r="AB36" s="69"/>
      <c r="AC36" s="69"/>
      <c r="AD36" s="115"/>
      <c r="AE36" s="115"/>
      <c r="AF36" s="115"/>
      <c r="AG36" s="115"/>
      <c r="AH36" s="115"/>
      <c r="AI36" s="115"/>
    </row>
    <row r="37" spans="1:35" ht="13.5" customHeight="1" thickBot="1" x14ac:dyDescent="0.25">
      <c r="A37" s="115"/>
      <c r="B37" s="651" t="s">
        <v>240</v>
      </c>
      <c r="C37" s="636"/>
      <c r="D37" s="540">
        <f>ROUNDUP(X40,0)</f>
        <v>0</v>
      </c>
      <c r="E37" s="652" t="str">
        <f ca="1">K70</f>
        <v/>
      </c>
      <c r="F37" s="653"/>
      <c r="G37" s="631" t="str">
        <f ca="1">IF(ISNA(VLOOKUP(E37,C70:K75,7,FALSE)),"",VLOOKUP(E37,C70:K75,7,FALSE))</f>
        <v/>
      </c>
      <c r="H37" s="632"/>
      <c r="I37" s="544" t="s">
        <v>27</v>
      </c>
      <c r="J37" s="545" t="s">
        <v>105</v>
      </c>
      <c r="K37" s="546">
        <v>0</v>
      </c>
      <c r="L37" s="465"/>
      <c r="M37" s="593"/>
      <c r="N37" s="119" t="s">
        <v>205</v>
      </c>
      <c r="O37" s="119">
        <f t="shared" si="10"/>
        <v>0</v>
      </c>
      <c r="P37" s="119">
        <v>6</v>
      </c>
      <c r="Q37" s="119">
        <f t="shared" si="5"/>
        <v>0</v>
      </c>
      <c r="R37" s="119">
        <f t="shared" si="6"/>
        <v>0</v>
      </c>
      <c r="S37" s="119" t="str">
        <f t="shared" si="7"/>
        <v/>
      </c>
      <c r="T37" s="119" t="str">
        <f t="array" aca="1" ref="T37" ca="1">IFERROR(INDEX(NinetiesA,SMALL((IF(LEN(NinetiesA),ROW(INDIRECT("1:"&amp;ROWS(NinetiesA))))),ROW(A2)),1),"")</f>
        <v/>
      </c>
      <c r="U37" s="114" t="e">
        <f t="shared" ca="1" si="9"/>
        <v>#N/A</v>
      </c>
      <c r="V37" s="591" t="s">
        <v>235</v>
      </c>
      <c r="W37" s="592">
        <f>'Level 8'!$D$33</f>
        <v>0</v>
      </c>
      <c r="X37" s="592">
        <f>'Level 8'!$L$16</f>
        <v>0</v>
      </c>
      <c r="Y37" s="575"/>
      <c r="Z37" s="575"/>
      <c r="AA37" s="115"/>
      <c r="AB37" s="69"/>
      <c r="AC37" s="69"/>
      <c r="AD37" s="115"/>
      <c r="AE37" s="115"/>
      <c r="AF37" s="115"/>
      <c r="AG37" s="115"/>
      <c r="AH37" s="115"/>
      <c r="AI37" s="115"/>
    </row>
    <row r="38" spans="1:35" ht="13.5" customHeight="1" thickBot="1" x14ac:dyDescent="0.25">
      <c r="A38" s="115"/>
      <c r="B38" s="651" t="s">
        <v>238</v>
      </c>
      <c r="C38" s="636"/>
      <c r="D38" s="572">
        <f>SUM(D36,D37)</f>
        <v>0</v>
      </c>
      <c r="E38" s="652" t="str">
        <f ca="1">K71</f>
        <v/>
      </c>
      <c r="F38" s="653"/>
      <c r="G38" s="629" t="str">
        <f ca="1">IF(ISNA(VLOOKUP(E38,C71:K76,7,FALSE)),"",VLOOKUP(E38,C71:K76,7,FALSE))</f>
        <v/>
      </c>
      <c r="H38" s="630"/>
      <c r="I38" s="547" t="s">
        <v>28</v>
      </c>
      <c r="J38" s="625">
        <f ca="1">J35+K36+K37</f>
        <v>0</v>
      </c>
      <c r="K38" s="626"/>
      <c r="L38" s="465"/>
      <c r="M38" s="69"/>
      <c r="N38" s="119" t="s">
        <v>44</v>
      </c>
      <c r="O38" s="119">
        <f t="shared" si="10"/>
        <v>0</v>
      </c>
      <c r="P38" s="119">
        <v>12</v>
      </c>
      <c r="Q38" s="119">
        <f t="shared" si="5"/>
        <v>0</v>
      </c>
      <c r="R38" s="119">
        <f t="shared" si="6"/>
        <v>0</v>
      </c>
      <c r="S38" s="119" t="str">
        <f t="shared" si="7"/>
        <v/>
      </c>
      <c r="T38" s="119" t="str">
        <f t="array" aca="1" ref="T38" ca="1">IFERROR(INDEX(NinetiesA,SMALL((IF(LEN(NinetiesA),ROW(INDIRECT("1:"&amp;ROWS(NinetiesA))))),ROW(A3)),1),"")</f>
        <v/>
      </c>
      <c r="U38" s="114" t="e">
        <f t="shared" ca="1" si="9"/>
        <v>#N/A</v>
      </c>
      <c r="V38" s="591" t="s">
        <v>236</v>
      </c>
      <c r="W38" s="592">
        <f>'Level 9'!$D$33</f>
        <v>0</v>
      </c>
      <c r="X38" s="592">
        <f>'Level 9'!$L$16</f>
        <v>0</v>
      </c>
      <c r="Y38" s="575"/>
      <c r="Z38" s="575"/>
      <c r="AA38" s="115"/>
      <c r="AB38" s="69"/>
      <c r="AC38" s="69"/>
      <c r="AD38" s="115"/>
      <c r="AE38" s="115"/>
      <c r="AF38" s="115"/>
      <c r="AG38" s="115"/>
      <c r="AH38" s="115"/>
      <c r="AI38" s="115"/>
    </row>
    <row r="39" spans="1:35" ht="22.5" customHeight="1" x14ac:dyDescent="0.2">
      <c r="A39" s="115"/>
      <c r="B39" s="603" t="s">
        <v>243</v>
      </c>
      <c r="C39" s="604"/>
      <c r="D39" s="604"/>
      <c r="E39" s="604"/>
      <c r="F39" s="604"/>
      <c r="G39" s="604"/>
      <c r="H39" s="604"/>
      <c r="I39" s="604"/>
      <c r="J39" s="604"/>
      <c r="K39" s="605"/>
      <c r="L39" s="465"/>
      <c r="M39" s="114"/>
      <c r="N39" s="119" t="s">
        <v>206</v>
      </c>
      <c r="O39" s="119">
        <f t="shared" si="10"/>
        <v>0</v>
      </c>
      <c r="P39" s="119">
        <v>6</v>
      </c>
      <c r="Q39" s="119">
        <f t="shared" si="5"/>
        <v>0</v>
      </c>
      <c r="R39" s="119">
        <f t="shared" si="6"/>
        <v>0</v>
      </c>
      <c r="S39" s="119" t="str">
        <f t="shared" si="7"/>
        <v/>
      </c>
      <c r="T39" s="119" t="str">
        <f t="array" aca="1" ref="T39" ca="1">IFERROR(INDEX(NinetiesA,SMALL((IF(LEN(NinetiesA),ROW(INDIRECT("1:"&amp;ROWS(NinetiesA))))),ROW(A4)),1),"")</f>
        <v/>
      </c>
      <c r="U39" s="114" t="e">
        <f t="shared" ca="1" si="9"/>
        <v>#N/A</v>
      </c>
      <c r="V39" s="591" t="s">
        <v>237</v>
      </c>
      <c r="W39" s="592">
        <f>'Level 10'!$D$33</f>
        <v>0</v>
      </c>
      <c r="X39" s="592">
        <f>'Level 10'!$L$16</f>
        <v>0</v>
      </c>
      <c r="Y39" s="575"/>
      <c r="Z39" s="575"/>
      <c r="AA39" s="115"/>
      <c r="AB39" s="69"/>
      <c r="AC39" s="69"/>
      <c r="AD39" s="115"/>
      <c r="AE39" s="115"/>
      <c r="AF39" s="115"/>
    </row>
    <row r="40" spans="1:35" ht="22.5" customHeight="1" x14ac:dyDescent="0.2">
      <c r="A40" s="115"/>
      <c r="B40" s="606"/>
      <c r="C40" s="607"/>
      <c r="D40" s="607"/>
      <c r="E40" s="607"/>
      <c r="F40" s="607"/>
      <c r="G40" s="607"/>
      <c r="H40" s="607"/>
      <c r="I40" s="607"/>
      <c r="J40" s="607"/>
      <c r="K40" s="608"/>
      <c r="M40" s="69"/>
      <c r="N40" s="119" t="s">
        <v>46</v>
      </c>
      <c r="O40" s="119">
        <f t="shared" si="10"/>
        <v>0</v>
      </c>
      <c r="P40" s="119">
        <v>12</v>
      </c>
      <c r="Q40" s="119">
        <f t="shared" si="5"/>
        <v>0</v>
      </c>
      <c r="R40" s="119">
        <f t="shared" si="6"/>
        <v>0</v>
      </c>
      <c r="S40" s="119" t="str">
        <f t="shared" si="7"/>
        <v/>
      </c>
      <c r="T40" s="119" t="str">
        <f t="array" aca="1" ref="T40" ca="1">IFERROR(INDEX(NinetiesA,SMALL((IF(LEN(NinetiesA),ROW(INDIRECT("1:"&amp;ROWS(NinetiesA))))),ROW(A5)),1),"")</f>
        <v/>
      </c>
      <c r="U40" s="114" t="e">
        <f t="shared" ca="1" si="9"/>
        <v>#N/A</v>
      </c>
      <c r="V40" s="119"/>
      <c r="W40" s="119">
        <f>SUM(W29:W39)</f>
        <v>0</v>
      </c>
      <c r="X40" s="119">
        <f>SUM(X29:X39)</f>
        <v>0</v>
      </c>
      <c r="Y40" s="575"/>
      <c r="Z40" s="575"/>
      <c r="AA40" s="115"/>
      <c r="AB40" s="69"/>
      <c r="AC40" s="69"/>
      <c r="AD40" s="115"/>
      <c r="AE40" s="115"/>
      <c r="AF40" s="115"/>
    </row>
    <row r="41" spans="1:35" ht="22.5" customHeight="1" thickBot="1" x14ac:dyDescent="0.25">
      <c r="A41" s="115"/>
      <c r="B41" s="606"/>
      <c r="C41" s="607"/>
      <c r="D41" s="607"/>
      <c r="E41" s="607"/>
      <c r="F41" s="607"/>
      <c r="G41" s="607"/>
      <c r="H41" s="609"/>
      <c r="I41" s="609"/>
      <c r="J41" s="609"/>
      <c r="K41" s="610"/>
      <c r="N41" s="119" t="s">
        <v>48</v>
      </c>
      <c r="O41" s="119">
        <f t="shared" si="10"/>
        <v>0</v>
      </c>
      <c r="P41" s="119">
        <v>8</v>
      </c>
      <c r="Q41" s="119">
        <f t="shared" si="5"/>
        <v>0</v>
      </c>
      <c r="R41" s="119">
        <f t="shared" si="6"/>
        <v>0</v>
      </c>
      <c r="S41" s="119" t="str">
        <f t="shared" si="7"/>
        <v/>
      </c>
      <c r="T41" s="119" t="str">
        <f t="array" aca="1" ref="T41" ca="1">IFERROR(INDEX(NinetiesA,SMALL((IF(LEN(NinetiesA),ROW(INDIRECT("1:"&amp;ROWS(NinetiesA))))),ROW(A6)),1),"")</f>
        <v/>
      </c>
      <c r="U41" s="114" t="e">
        <f t="shared" ca="1" si="9"/>
        <v>#N/A</v>
      </c>
      <c r="V41" s="119"/>
      <c r="W41" s="119"/>
      <c r="X41" s="119"/>
      <c r="Y41" s="575"/>
      <c r="Z41" s="575"/>
      <c r="AA41" s="115"/>
      <c r="AB41" s="69"/>
      <c r="AC41" s="69"/>
      <c r="AD41" s="115"/>
      <c r="AE41" s="115"/>
      <c r="AF41" s="115"/>
    </row>
    <row r="42" spans="1:35" ht="15" customHeight="1" x14ac:dyDescent="0.2">
      <c r="A42" s="115"/>
      <c r="B42" s="654" t="s">
        <v>489</v>
      </c>
      <c r="C42" s="655"/>
      <c r="D42" s="361">
        <f>SUM('Level 1:Level 10'!H14:I14)</f>
        <v>0</v>
      </c>
      <c r="E42" s="647" t="s">
        <v>491</v>
      </c>
      <c r="F42" s="648"/>
      <c r="G42" s="363">
        <f>SUM('Level 1:Level 10'!C28)</f>
        <v>0</v>
      </c>
      <c r="H42" s="354"/>
      <c r="I42" s="354"/>
      <c r="J42" s="354"/>
      <c r="K42" s="355"/>
      <c r="N42" s="119" t="s">
        <v>49</v>
      </c>
      <c r="O42" s="119">
        <f t="shared" si="10"/>
        <v>0</v>
      </c>
      <c r="P42" s="119">
        <v>8</v>
      </c>
      <c r="Q42" s="119">
        <f t="shared" si="5"/>
        <v>0</v>
      </c>
      <c r="R42" s="119">
        <f t="shared" si="6"/>
        <v>0</v>
      </c>
      <c r="S42" s="119" t="str">
        <f t="shared" si="7"/>
        <v/>
      </c>
      <c r="T42" s="119" t="str">
        <f t="array" aca="1" ref="T42" ca="1">IFERROR(INDEX(NinetiesA,SMALL((IF(LEN(NinetiesA),ROW(INDIRECT("1:"&amp;ROWS(NinetiesA))))),ROW(A7)),1),"")</f>
        <v/>
      </c>
      <c r="U42" s="114" t="e">
        <f t="shared" ca="1" si="9"/>
        <v>#N/A</v>
      </c>
      <c r="V42" s="589"/>
      <c r="W42" s="119"/>
      <c r="X42" s="590"/>
      <c r="Y42" s="576"/>
      <c r="Z42" s="575"/>
      <c r="AA42" s="115"/>
      <c r="AB42" s="69"/>
      <c r="AC42" s="69"/>
      <c r="AD42" s="115"/>
      <c r="AE42" s="115"/>
      <c r="AF42" s="115"/>
    </row>
    <row r="43" spans="1:35" ht="15" customHeight="1" thickBot="1" x14ac:dyDescent="0.25">
      <c r="A43" s="115"/>
      <c r="B43" s="656" t="s">
        <v>490</v>
      </c>
      <c r="C43" s="657"/>
      <c r="D43" s="362">
        <f>SUM('Level 1:Level 10'!H15:I15)</f>
        <v>0</v>
      </c>
      <c r="E43" s="649" t="s">
        <v>538</v>
      </c>
      <c r="F43" s="650"/>
      <c r="G43" s="356">
        <f>SUM('Level 1:Level 10'!L11)</f>
        <v>0</v>
      </c>
      <c r="H43" s="357"/>
      <c r="I43" s="357"/>
      <c r="J43" s="357"/>
      <c r="K43" s="358"/>
      <c r="N43" s="119" t="s">
        <v>43</v>
      </c>
      <c r="O43" s="119">
        <f>SUMIF($R$13:$R$22,N43,$S$13:$S$22)</f>
        <v>0</v>
      </c>
      <c r="P43" s="119">
        <v>12</v>
      </c>
      <c r="Q43" s="119">
        <f t="shared" si="5"/>
        <v>0</v>
      </c>
      <c r="R43" s="119">
        <f t="shared" si="6"/>
        <v>0</v>
      </c>
      <c r="S43" s="119" t="str">
        <f t="shared" si="7"/>
        <v/>
      </c>
      <c r="T43" s="119" t="str">
        <f t="array" aca="1" ref="T43" ca="1">IFERROR(INDEX(FortyfivesA,SMALL((IF(LEN(FortyfivesA),ROW(INDIRECT("1:"&amp;ROWS(FortyfivesA))))),ROW(A1)),1),"")</f>
        <v/>
      </c>
      <c r="U43" s="114" t="e">
        <f t="shared" ca="1" si="9"/>
        <v>#N/A</v>
      </c>
      <c r="V43" s="589"/>
      <c r="W43" s="119"/>
      <c r="X43" s="590"/>
      <c r="Y43" s="576"/>
      <c r="Z43" s="575"/>
      <c r="AA43" s="115"/>
      <c r="AB43" s="69"/>
      <c r="AC43" s="69"/>
      <c r="AD43" s="115"/>
      <c r="AE43" s="115"/>
      <c r="AF43" s="115"/>
    </row>
    <row r="44" spans="1:35" s="118" customFormat="1" x14ac:dyDescent="0.2">
      <c r="A44" s="69"/>
      <c r="B44" s="119"/>
      <c r="C44" s="119"/>
      <c r="D44" s="119"/>
      <c r="E44" s="69"/>
      <c r="F44" s="69"/>
      <c r="G44" s="69"/>
      <c r="H44" s="69"/>
      <c r="I44" s="69"/>
      <c r="J44" s="123"/>
      <c r="K44" s="69"/>
      <c r="L44" s="69"/>
      <c r="N44" s="119" t="s">
        <v>45</v>
      </c>
      <c r="O44" s="119">
        <f>SUMIF($R$13:$R$22,N44,$S$13:$S$22)</f>
        <v>0</v>
      </c>
      <c r="P44" s="119">
        <v>12</v>
      </c>
      <c r="Q44" s="119">
        <f t="shared" si="5"/>
        <v>0</v>
      </c>
      <c r="R44" s="119">
        <f t="shared" si="6"/>
        <v>0</v>
      </c>
      <c r="S44" s="119" t="str">
        <f t="shared" si="7"/>
        <v/>
      </c>
      <c r="T44" s="119" t="str">
        <f t="array" aca="1" ref="T44" ca="1">IFERROR(INDEX(FortyfivesA,SMALL((IF(LEN(FortyfivesA),ROW(INDIRECT("1:"&amp;ROWS(FortyfivesA))))),ROW(A2)),1),"")</f>
        <v/>
      </c>
      <c r="U44" s="114" t="e">
        <f t="shared" ca="1" si="9"/>
        <v>#N/A</v>
      </c>
      <c r="V44" s="119"/>
      <c r="W44" s="119"/>
      <c r="X44" s="119"/>
      <c r="Y44" s="575"/>
      <c r="Z44" s="575"/>
      <c r="AA44" s="115"/>
      <c r="AB44" s="69"/>
      <c r="AC44" s="69"/>
      <c r="AD44" s="69"/>
      <c r="AE44" s="69"/>
      <c r="AF44" s="69"/>
    </row>
    <row r="45" spans="1:35" s="118" customFormat="1" x14ac:dyDescent="0.2">
      <c r="A45" s="69"/>
      <c r="B45" s="119"/>
      <c r="C45" s="118" t="s">
        <v>252</v>
      </c>
      <c r="D45" s="119" t="s">
        <v>244</v>
      </c>
      <c r="E45" s="118" t="s">
        <v>253</v>
      </c>
      <c r="F45" s="119" t="s">
        <v>245</v>
      </c>
      <c r="G45" s="118" t="s">
        <v>254</v>
      </c>
      <c r="H45" s="69" t="s">
        <v>246</v>
      </c>
      <c r="I45" s="118" t="s">
        <v>247</v>
      </c>
      <c r="J45" s="69" t="s">
        <v>226</v>
      </c>
      <c r="K45" s="69"/>
      <c r="L45" s="69"/>
      <c r="N45" s="119" t="s">
        <v>47</v>
      </c>
      <c r="O45" s="119">
        <f>SUMIF($R$13:$R$22,N45,$S$13:$S$22)</f>
        <v>0</v>
      </c>
      <c r="P45" s="119">
        <v>12</v>
      </c>
      <c r="Q45" s="119">
        <f t="shared" si="5"/>
        <v>0</v>
      </c>
      <c r="R45" s="119">
        <f t="shared" si="6"/>
        <v>0</v>
      </c>
      <c r="S45" s="119" t="str">
        <f t="shared" si="7"/>
        <v/>
      </c>
      <c r="T45" s="119" t="str">
        <f t="array" aca="1" ref="T45" ca="1">IFERROR(INDEX(FortyfivesA,SMALL((IF(LEN(FortyfivesA),ROW(INDIRECT("1:"&amp;ROWS(FortyfivesA))))),ROW(A3)),1),"")</f>
        <v/>
      </c>
      <c r="U45" s="114" t="e">
        <f t="shared" ca="1" si="9"/>
        <v>#N/A</v>
      </c>
      <c r="V45" s="119"/>
      <c r="W45" s="119"/>
      <c r="X45" s="119"/>
      <c r="Y45" s="575"/>
      <c r="Z45" s="575"/>
      <c r="AA45" s="115"/>
      <c r="AB45" s="69"/>
      <c r="AC45" s="69"/>
      <c r="AD45" s="69"/>
      <c r="AE45" s="69"/>
      <c r="AF45" s="69"/>
    </row>
    <row r="46" spans="1:35" s="118" customFormat="1" x14ac:dyDescent="0.2">
      <c r="A46" s="69"/>
      <c r="B46" s="119" t="s">
        <v>228</v>
      </c>
      <c r="C46" s="119">
        <f>'Level 1'!$F$95</f>
        <v>5</v>
      </c>
      <c r="D46" s="119">
        <f>IF(ISERROR('Level 1'!$F$105),0,'Level 1'!$F$105)</f>
        <v>0</v>
      </c>
      <c r="E46" s="69">
        <f>'Level 1'!$F$109</f>
        <v>4</v>
      </c>
      <c r="F46" s="69">
        <f>IF(ISERROR('Level 1'!$F$118),0,'Level 1'!$F$118)</f>
        <v>0</v>
      </c>
      <c r="G46" s="69">
        <f>'Level 1'!$K$95</f>
        <v>5</v>
      </c>
      <c r="H46" s="69">
        <f>IF(ISERROR('Level 1'!$K$100),0,'Level 1'!$K$100)</f>
        <v>0</v>
      </c>
      <c r="I46" s="69"/>
      <c r="J46" s="69" t="s">
        <v>224</v>
      </c>
      <c r="K46" s="69"/>
      <c r="L46" s="69"/>
      <c r="N46" s="119" t="s">
        <v>23</v>
      </c>
      <c r="O46" s="119">
        <f>SUMIF($T$13:$T$22,N46,$U$13:$U$22)</f>
        <v>0</v>
      </c>
      <c r="P46" s="119">
        <v>6</v>
      </c>
      <c r="Q46" s="119">
        <f t="shared" si="5"/>
        <v>0</v>
      </c>
      <c r="R46" s="119">
        <f t="shared" si="6"/>
        <v>0</v>
      </c>
      <c r="S46" s="119" t="str">
        <f t="shared" si="7"/>
        <v/>
      </c>
      <c r="T46" s="119" t="str">
        <f t="array" aca="1" ref="T46" ca="1">IFERROR(INDEX(BLA,SMALL((IF(LEN(BLA),ROW(INDIRECT("1:"&amp;ROWS(BLA))))),ROW(A1)),1),"")</f>
        <v/>
      </c>
      <c r="U46" s="114" t="e">
        <f t="shared" ca="1" si="9"/>
        <v>#N/A</v>
      </c>
      <c r="V46" s="119"/>
      <c r="W46" s="119"/>
      <c r="X46" s="119"/>
      <c r="Y46" s="575"/>
      <c r="Z46" s="575"/>
      <c r="AA46" s="115"/>
      <c r="AB46" s="69"/>
      <c r="AC46" s="69"/>
      <c r="AD46" s="69"/>
      <c r="AE46" s="69"/>
      <c r="AF46" s="69"/>
    </row>
    <row r="47" spans="1:35" s="118" customFormat="1" x14ac:dyDescent="0.2">
      <c r="A47" s="69"/>
      <c r="B47" s="119" t="s">
        <v>229</v>
      </c>
      <c r="C47" s="119">
        <f>'Level 2'!$F$95</f>
        <v>5</v>
      </c>
      <c r="D47" s="119">
        <f>IF(ISERROR('Level 2'!$F$105),0,'Level 2'!$F$105)</f>
        <v>0</v>
      </c>
      <c r="E47" s="69">
        <f>'Level 2'!$F$109</f>
        <v>4</v>
      </c>
      <c r="F47" s="69">
        <f>IF(ISERROR('Level 2'!$F$118),0,'Level 2'!$F$118)</f>
        <v>0</v>
      </c>
      <c r="G47" s="69">
        <f>'Level 2'!$K$95</f>
        <v>5</v>
      </c>
      <c r="H47" s="69">
        <f>IF(ISERROR('Level 2'!$K$100),0,'Level 2'!$K$100)</f>
        <v>0</v>
      </c>
      <c r="I47" s="69"/>
      <c r="J47" s="69" t="s">
        <v>225</v>
      </c>
      <c r="K47" s="69"/>
      <c r="L47" s="69"/>
      <c r="N47" s="119" t="s">
        <v>24</v>
      </c>
      <c r="O47" s="119">
        <f>SUMIF($T$13:$T$22,N47,$U$13:$U$22)</f>
        <v>0</v>
      </c>
      <c r="P47" s="119">
        <v>6</v>
      </c>
      <c r="Q47" s="119">
        <f t="shared" si="5"/>
        <v>0</v>
      </c>
      <c r="R47" s="119">
        <f t="shared" si="6"/>
        <v>0</v>
      </c>
      <c r="S47" s="119" t="str">
        <f t="shared" si="7"/>
        <v/>
      </c>
      <c r="T47" s="119" t="str">
        <f t="array" aca="1" ref="T47" ca="1">IFERROR(INDEX(BLA,SMALL((IF(LEN(BLA),ROW(INDIRECT("1:"&amp;ROWS(BLA))))),ROW(A2)),1),"")</f>
        <v/>
      </c>
      <c r="U47" s="114" t="e">
        <f t="shared" ca="1" si="9"/>
        <v>#N/A</v>
      </c>
      <c r="V47" s="119"/>
      <c r="W47" s="119"/>
      <c r="X47" s="119"/>
      <c r="Y47" s="575"/>
      <c r="Z47" s="575"/>
      <c r="AA47" s="115"/>
      <c r="AB47" s="69"/>
      <c r="AC47" s="69"/>
      <c r="AD47" s="69"/>
      <c r="AE47" s="69"/>
      <c r="AF47" s="69"/>
    </row>
    <row r="48" spans="1:35" s="118" customFormat="1" x14ac:dyDescent="0.2">
      <c r="A48" s="69"/>
      <c r="B48" s="119" t="s">
        <v>230</v>
      </c>
      <c r="C48" s="119">
        <f>'Level 3'!$F$95</f>
        <v>5</v>
      </c>
      <c r="D48" s="119">
        <f>IF(ISERROR('Level 3'!$F$105),0,'Level 3'!$F$105)</f>
        <v>0</v>
      </c>
      <c r="E48" s="69">
        <f>'Level 3'!$F$109</f>
        <v>4</v>
      </c>
      <c r="F48" s="69">
        <f>IF(ISERROR('Level 3'!$F$118),0,'Level 3'!$F$118)</f>
        <v>0</v>
      </c>
      <c r="G48" s="69">
        <f>'Level 3'!$K$95</f>
        <v>5</v>
      </c>
      <c r="H48" s="69">
        <f>IF(ISERROR('Level 3'!$K$100),0,'Level 3'!$K$100)</f>
        <v>0</v>
      </c>
      <c r="I48" s="69"/>
      <c r="J48" s="123"/>
      <c r="K48" s="69"/>
      <c r="L48" s="69"/>
      <c r="N48" s="119" t="s">
        <v>21</v>
      </c>
      <c r="O48" s="119">
        <f>SUMIF($V$13:$V$22,N48,$W$13:$W$22)</f>
        <v>0</v>
      </c>
      <c r="P48" s="119">
        <v>12</v>
      </c>
      <c r="Q48" s="119">
        <f t="shared" si="5"/>
        <v>0</v>
      </c>
      <c r="R48" s="119">
        <f t="shared" si="6"/>
        <v>0</v>
      </c>
      <c r="S48" s="119" t="str">
        <f t="shared" si="7"/>
        <v/>
      </c>
      <c r="T48" s="119" t="str">
        <f t="array" aca="1" ref="T48" ca="1">IFERROR(INDEX(DTA,SMALL((IF(LEN(DTA),ROW(INDIRECT("1:"&amp;ROWS(DTA))))),ROW(A1)),1),"")</f>
        <v/>
      </c>
      <c r="U48" s="114" t="e">
        <f t="shared" ca="1" si="9"/>
        <v>#N/A</v>
      </c>
      <c r="V48" s="119"/>
      <c r="W48" s="119"/>
      <c r="X48" s="119"/>
      <c r="Y48" s="575"/>
      <c r="Z48" s="575"/>
      <c r="AA48" s="115"/>
      <c r="AB48" s="69"/>
      <c r="AC48" s="69"/>
      <c r="AD48" s="69"/>
      <c r="AE48" s="69"/>
      <c r="AF48" s="69"/>
    </row>
    <row r="49" spans="1:32" s="118" customFormat="1" x14ac:dyDescent="0.2">
      <c r="A49" s="69"/>
      <c r="B49" s="119" t="s">
        <v>231</v>
      </c>
      <c r="C49" s="119">
        <f>'Level 4'!$F$95</f>
        <v>5</v>
      </c>
      <c r="D49" s="119">
        <f>IF(ISERROR('Level 4'!$F$105),0,'Level 4'!$F$105)</f>
        <v>0</v>
      </c>
      <c r="E49" s="69">
        <f>'Level 4'!$F$109</f>
        <v>4</v>
      </c>
      <c r="F49" s="69">
        <f>IF(ISERROR('Level 4'!$F$118),0,'Level 4'!$F$118)</f>
        <v>0</v>
      </c>
      <c r="G49" s="69">
        <f>'Level 4'!$K$95</f>
        <v>5</v>
      </c>
      <c r="H49" s="69">
        <f>IF(ISERROR('Level 4'!$K$100),0,'Level 4'!$K$100)</f>
        <v>0</v>
      </c>
      <c r="I49" s="69"/>
      <c r="J49" s="69"/>
      <c r="K49" s="69"/>
      <c r="L49" s="69"/>
      <c r="N49" s="119" t="s">
        <v>22</v>
      </c>
      <c r="O49" s="119">
        <f>SUMIF($V$13:$V$22,N49,$W$13:$W$22)</f>
        <v>0</v>
      </c>
      <c r="P49" s="119">
        <v>12</v>
      </c>
      <c r="Q49" s="119">
        <f t="shared" si="5"/>
        <v>0</v>
      </c>
      <c r="R49" s="119">
        <f t="shared" si="6"/>
        <v>0</v>
      </c>
      <c r="S49" s="119" t="str">
        <f t="shared" si="7"/>
        <v/>
      </c>
      <c r="T49" s="119" t="str">
        <f t="array" aca="1" ref="T49" ca="1">IFERROR(INDEX(DTA,SMALL((IF(LEN(DTA),ROW(INDIRECT("1:"&amp;ROWS(DTA))))),ROW(A2)),1),"")</f>
        <v/>
      </c>
      <c r="U49" s="114" t="e">
        <f t="shared" ca="1" si="9"/>
        <v>#N/A</v>
      </c>
      <c r="V49" s="119"/>
      <c r="W49" s="119"/>
      <c r="X49" s="119"/>
      <c r="Y49" s="575"/>
      <c r="Z49" s="575"/>
      <c r="AA49" s="115"/>
      <c r="AB49" s="69"/>
      <c r="AC49" s="69"/>
      <c r="AD49" s="69"/>
      <c r="AE49" s="69"/>
      <c r="AF49" s="69"/>
    </row>
    <row r="50" spans="1:32" s="118" customFormat="1" x14ac:dyDescent="0.2">
      <c r="A50" s="69"/>
      <c r="B50" s="119" t="s">
        <v>232</v>
      </c>
      <c r="C50" s="119">
        <f>'Level 5'!$F$95</f>
        <v>5</v>
      </c>
      <c r="D50" s="119">
        <f>IF(ISERROR('Level 5'!$F$105),0,'Level 5'!$F$105)</f>
        <v>0</v>
      </c>
      <c r="E50" s="69">
        <f>'Level 5'!$F$109</f>
        <v>4</v>
      </c>
      <c r="F50" s="69">
        <f>IF(ISERROR('Level 5'!$F$118),0,'Level 5'!$F$118)</f>
        <v>0</v>
      </c>
      <c r="G50" s="69">
        <f>'Level 5'!$K$95</f>
        <v>5</v>
      </c>
      <c r="H50" s="69">
        <f>IF(ISERROR('Level 5'!$K$100),0,'Level 5'!$K$100)</f>
        <v>0</v>
      </c>
      <c r="I50" s="69"/>
      <c r="J50" s="69"/>
      <c r="K50" s="69"/>
      <c r="L50" s="69"/>
      <c r="N50" s="119" t="s">
        <v>51</v>
      </c>
      <c r="O50" s="119">
        <f>SUMIF($X$13:$X$22,N50,$Y$13:$Y$22)</f>
        <v>0</v>
      </c>
      <c r="P50" s="119">
        <v>24</v>
      </c>
      <c r="Q50" s="119">
        <f t="shared" si="5"/>
        <v>0</v>
      </c>
      <c r="R50" s="119">
        <f t="shared" si="6"/>
        <v>0</v>
      </c>
      <c r="S50" s="119" t="str">
        <f t="shared" si="7"/>
        <v/>
      </c>
      <c r="T50" s="119" t="str">
        <f t="array" aca="1" ref="T50" ca="1">IFERROR(INDEX(BDA,SMALL((IF(LEN(BDA),ROW(INDIRECT("1:"&amp;ROWS(BDA))))),ROW(A1)),1),"")</f>
        <v/>
      </c>
      <c r="U50" s="114" t="e">
        <f t="shared" ca="1" si="9"/>
        <v>#N/A</v>
      </c>
      <c r="V50" s="119"/>
      <c r="W50" s="119"/>
      <c r="X50" s="119"/>
      <c r="Y50" s="575"/>
      <c r="Z50" s="575"/>
      <c r="AA50" s="115"/>
      <c r="AB50" s="69"/>
      <c r="AC50" s="69"/>
      <c r="AD50" s="69"/>
      <c r="AE50" s="69"/>
      <c r="AF50" s="69"/>
    </row>
    <row r="51" spans="1:32" s="118" customFormat="1" x14ac:dyDescent="0.2">
      <c r="A51" s="69"/>
      <c r="B51" s="119" t="s">
        <v>233</v>
      </c>
      <c r="C51" s="119">
        <f>'Level 6'!$F$95</f>
        <v>5</v>
      </c>
      <c r="D51" s="119">
        <f>IF(ISERROR('Level 6'!$F$105),0,'Level 6'!$F$105)</f>
        <v>0</v>
      </c>
      <c r="E51" s="69">
        <f>'Level 6'!$F$109</f>
        <v>4</v>
      </c>
      <c r="F51" s="69">
        <f>IF(ISERROR('Level 6'!$F$118),0,'Level 6'!$F$118)</f>
        <v>0</v>
      </c>
      <c r="G51" s="69">
        <f>'Level 6'!$K$95</f>
        <v>5</v>
      </c>
      <c r="H51" s="69">
        <f>IF(ISERROR('Level 6'!$K$100),0,'Level 6'!$K$100)</f>
        <v>0</v>
      </c>
      <c r="I51" s="69"/>
      <c r="J51" s="69"/>
      <c r="K51" s="69"/>
      <c r="L51" s="69"/>
      <c r="N51" s="119" t="s">
        <v>52</v>
      </c>
      <c r="O51" s="119">
        <f>SUMIF($X$13:$X$22,N51,$Y$13:$Y$22)</f>
        <v>0</v>
      </c>
      <c r="P51" s="119">
        <v>20</v>
      </c>
      <c r="Q51" s="119">
        <f t="shared" si="5"/>
        <v>0</v>
      </c>
      <c r="R51" s="119">
        <f t="shared" si="6"/>
        <v>0</v>
      </c>
      <c r="S51" s="119" t="str">
        <f t="shared" si="7"/>
        <v/>
      </c>
      <c r="T51" s="119" t="str">
        <f t="array" aca="1" ref="T51" ca="1">IFERROR(INDEX(BDA,SMALL((IF(LEN(BDA),ROW(INDIRECT("1:"&amp;ROWS(BDA))))),ROW(A2)),1),"")</f>
        <v/>
      </c>
      <c r="U51" s="114" t="e">
        <f t="shared" ca="1" si="9"/>
        <v>#N/A</v>
      </c>
      <c r="V51" s="119"/>
      <c r="W51" s="119"/>
      <c r="X51" s="119"/>
      <c r="Y51" s="575"/>
      <c r="Z51" s="575"/>
      <c r="AA51" s="115"/>
      <c r="AB51" s="69"/>
      <c r="AC51" s="69"/>
      <c r="AD51" s="69"/>
      <c r="AE51" s="69"/>
      <c r="AF51" s="69"/>
    </row>
    <row r="52" spans="1:32" s="118" customFormat="1" x14ac:dyDescent="0.2">
      <c r="A52" s="69"/>
      <c r="B52" s="119" t="s">
        <v>234</v>
      </c>
      <c r="C52" s="119">
        <f>'Level 7'!$F$95</f>
        <v>5</v>
      </c>
      <c r="D52" s="119">
        <f>IF(ISERROR('Level 7'!$F$105),0,'Level 7'!$F$105)</f>
        <v>0</v>
      </c>
      <c r="E52" s="69">
        <f>'Level 7'!$F$109</f>
        <v>4</v>
      </c>
      <c r="F52" s="69">
        <f>IF(ISERROR('Level 7'!$F$118),0,'Level 7'!$F$118)</f>
        <v>0</v>
      </c>
      <c r="G52" s="69">
        <f>'Level 7'!$K$95</f>
        <v>5</v>
      </c>
      <c r="H52" s="69">
        <f>IF(ISERROR('Level 7'!$K$100),0,'Level 7'!$K$100)</f>
        <v>0</v>
      </c>
      <c r="I52" s="69"/>
      <c r="J52" s="69"/>
      <c r="K52" s="69"/>
      <c r="L52" s="69"/>
      <c r="M52" s="69"/>
      <c r="N52" s="119" t="s">
        <v>53</v>
      </c>
      <c r="O52" s="119">
        <f>SUMIF($X$13:$X$22,N52,$Y$13:$Y$22)</f>
        <v>0</v>
      </c>
      <c r="P52" s="119">
        <v>16</v>
      </c>
      <c r="Q52" s="119">
        <f t="shared" si="5"/>
        <v>0</v>
      </c>
      <c r="R52" s="119">
        <f t="shared" si="6"/>
        <v>0</v>
      </c>
      <c r="S52" s="119" t="str">
        <f t="shared" si="7"/>
        <v/>
      </c>
      <c r="T52" s="119" t="str">
        <f t="array" aca="1" ref="T52" ca="1">IFERROR(INDEX(BDA,SMALL((IF(LEN(BDA),ROW(INDIRECT("1:"&amp;ROWS(BDA))))),ROW(A3)),1),"")</f>
        <v/>
      </c>
      <c r="U52" s="114" t="e">
        <f t="shared" ca="1" si="9"/>
        <v>#N/A</v>
      </c>
      <c r="V52" s="119"/>
      <c r="W52" s="119"/>
      <c r="X52" s="119"/>
      <c r="Y52" s="575"/>
      <c r="Z52" s="575"/>
      <c r="AA52" s="115"/>
    </row>
    <row r="53" spans="1:32" s="118" customFormat="1" x14ac:dyDescent="0.2">
      <c r="A53" s="69"/>
      <c r="B53" s="119" t="s">
        <v>235</v>
      </c>
      <c r="C53" s="119">
        <f>'Level 8'!$F$95</f>
        <v>5</v>
      </c>
      <c r="D53" s="119">
        <f>IF(ISERROR('Level 8'!$F$105),0,'Level 8'!$F$105)</f>
        <v>0</v>
      </c>
      <c r="E53" s="69">
        <f>'Level 8'!$F$109</f>
        <v>4</v>
      </c>
      <c r="F53" s="69">
        <f>IF(ISERROR('Level 8'!$F$118),0,'Level 8'!$F$118)</f>
        <v>0</v>
      </c>
      <c r="G53" s="69">
        <f>'Level 8'!$K$95</f>
        <v>5</v>
      </c>
      <c r="H53" s="69">
        <f>IF(ISERROR('Level 8'!$K$100),0,'Level 8'!$K$100)</f>
        <v>0</v>
      </c>
      <c r="I53" s="69"/>
      <c r="J53" s="69"/>
      <c r="K53" s="69"/>
      <c r="L53" s="69"/>
      <c r="M53" s="69"/>
      <c r="N53" s="69"/>
      <c r="O53" s="69"/>
      <c r="P53" s="69"/>
      <c r="Q53" s="69"/>
      <c r="R53" s="69"/>
      <c r="S53" s="69"/>
      <c r="T53" s="69"/>
      <c r="U53" s="119"/>
      <c r="V53" s="119"/>
      <c r="W53" s="119"/>
      <c r="X53" s="119"/>
      <c r="Y53" s="575"/>
      <c r="Z53" s="575"/>
      <c r="AA53" s="115"/>
    </row>
    <row r="54" spans="1:32" s="118" customFormat="1" x14ac:dyDescent="0.2">
      <c r="A54" s="69"/>
      <c r="B54" s="119" t="s">
        <v>236</v>
      </c>
      <c r="C54" s="119">
        <f>'Level 9'!$F$95</f>
        <v>5</v>
      </c>
      <c r="D54" s="119">
        <f>IF(ISERROR('Level 9'!$F$105),0,'Level 9'!$F$105)</f>
        <v>0</v>
      </c>
      <c r="E54" s="69">
        <f>'Level 9'!$F$109</f>
        <v>4</v>
      </c>
      <c r="F54" s="69">
        <f>IF(ISERROR('Level 9'!$F$118),0,'Level 9'!$F$118)</f>
        <v>0</v>
      </c>
      <c r="G54" s="69">
        <f>'Level 9'!$K$95</f>
        <v>5</v>
      </c>
      <c r="H54" s="69">
        <f>IF(ISERROR('Level 9'!$K$100),0,'Level 9'!$K$100)</f>
        <v>0</v>
      </c>
      <c r="I54" s="69"/>
      <c r="J54" s="69"/>
      <c r="K54" s="69"/>
      <c r="L54" s="69"/>
      <c r="M54" s="69"/>
      <c r="N54" s="69"/>
      <c r="O54" s="69"/>
      <c r="P54" s="69"/>
      <c r="Q54" s="69"/>
      <c r="R54" s="69"/>
      <c r="S54" s="69"/>
      <c r="T54" s="69"/>
      <c r="U54" s="119"/>
      <c r="V54" s="119"/>
      <c r="W54" s="119"/>
      <c r="X54" s="119"/>
      <c r="Y54" s="575"/>
      <c r="Z54" s="575"/>
      <c r="AA54" s="115"/>
    </row>
    <row r="55" spans="1:32" s="118" customFormat="1" x14ac:dyDescent="0.2">
      <c r="A55" s="69"/>
      <c r="B55" s="119" t="s">
        <v>237</v>
      </c>
      <c r="C55" s="119">
        <f>'Level 10'!$F$95</f>
        <v>5</v>
      </c>
      <c r="D55" s="119">
        <f>IF(ISERROR('Level 10'!$F$105),0,'Level 10'!$F$105)</f>
        <v>0</v>
      </c>
      <c r="E55" s="69">
        <f>'Level 10'!$F$109</f>
        <v>4</v>
      </c>
      <c r="F55" s="69">
        <f>IF(ISERROR('Level 10'!$F$118),0,'Level 10'!$F$118)</f>
        <v>0</v>
      </c>
      <c r="G55" s="69">
        <f>'Level 10'!$K$95</f>
        <v>5</v>
      </c>
      <c r="H55" s="69">
        <f>IF(ISERROR('Level 10'!$K$100),0,'Level 10'!$K$100)</f>
        <v>0</v>
      </c>
      <c r="I55" s="69"/>
      <c r="J55" s="69"/>
      <c r="K55" s="69"/>
      <c r="L55" s="69"/>
      <c r="M55" s="119">
        <v>4</v>
      </c>
      <c r="N55" s="119">
        <f>SUM('Level 1:Level 10'!N88)</f>
        <v>0</v>
      </c>
      <c r="O55" s="119"/>
      <c r="P55" s="69"/>
      <c r="Q55" s="69"/>
      <c r="R55" s="69"/>
      <c r="S55" s="69"/>
      <c r="T55" s="69"/>
      <c r="U55" s="119"/>
      <c r="V55" s="119"/>
      <c r="W55" s="119"/>
      <c r="X55" s="119"/>
      <c r="Y55" s="575"/>
      <c r="Z55" s="575"/>
      <c r="AA55" s="115"/>
    </row>
    <row r="56" spans="1:32" s="118" customFormat="1" x14ac:dyDescent="0.2">
      <c r="A56" s="69"/>
      <c r="B56" s="69"/>
      <c r="C56" s="69"/>
      <c r="D56" s="69"/>
      <c r="E56" s="69"/>
      <c r="F56" s="69"/>
      <c r="G56" s="69"/>
      <c r="H56" s="69"/>
      <c r="I56" s="69"/>
      <c r="J56" s="69"/>
      <c r="K56" s="69"/>
      <c r="L56" s="69"/>
      <c r="M56" s="119">
        <v>6</v>
      </c>
      <c r="N56" s="119">
        <f>SUM('Level 1:Level 10'!N89)</f>
        <v>0</v>
      </c>
      <c r="O56" s="119"/>
      <c r="P56" s="69"/>
      <c r="Q56" s="69"/>
      <c r="R56" s="69"/>
      <c r="S56" s="69"/>
      <c r="T56" s="69"/>
      <c r="U56" s="119"/>
      <c r="V56" s="119"/>
      <c r="W56" s="119"/>
      <c r="X56" s="119"/>
      <c r="Y56" s="575"/>
      <c r="Z56" s="575"/>
      <c r="AA56" s="115"/>
    </row>
    <row r="57" spans="1:32" s="118" customFormat="1" x14ac:dyDescent="0.2">
      <c r="A57" s="69"/>
      <c r="C57" s="118" t="s">
        <v>248</v>
      </c>
      <c r="D57" s="118" t="s">
        <v>249</v>
      </c>
      <c r="E57" s="118" t="s">
        <v>250</v>
      </c>
      <c r="F57" s="118" t="s">
        <v>251</v>
      </c>
      <c r="J57" s="123"/>
      <c r="K57" s="123"/>
      <c r="L57" s="69"/>
      <c r="M57" s="119">
        <v>8</v>
      </c>
      <c r="N57" s="119">
        <f>SUM('Level 1:Level 10'!N90)</f>
        <v>0</v>
      </c>
      <c r="O57" s="119"/>
      <c r="P57" s="69"/>
      <c r="Q57" s="69"/>
      <c r="R57" s="69"/>
      <c r="S57" s="69"/>
      <c r="T57" s="69"/>
      <c r="U57" s="119"/>
      <c r="V57" s="119"/>
      <c r="W57" s="119"/>
      <c r="X57" s="119"/>
      <c r="Y57" s="575"/>
      <c r="Z57" s="575"/>
      <c r="AA57" s="115"/>
    </row>
    <row r="58" spans="1:32" s="118" customFormat="1" x14ac:dyDescent="0.2">
      <c r="A58" s="69"/>
      <c r="B58" s="119" t="s">
        <v>228</v>
      </c>
      <c r="C58" s="69">
        <f>'Level 1'!$K$110</f>
        <v>4</v>
      </c>
      <c r="D58" s="69">
        <f>'Level 1'!K112</f>
        <v>0</v>
      </c>
      <c r="E58" s="69">
        <f>'Level 1'!$K$111</f>
        <v>5</v>
      </c>
      <c r="F58" s="69">
        <f>'Level 1'!$K$113</f>
        <v>0</v>
      </c>
      <c r="G58" s="69"/>
      <c r="H58" s="69"/>
      <c r="I58" s="69"/>
      <c r="J58" s="69"/>
      <c r="K58" s="69"/>
      <c r="L58" s="69"/>
      <c r="U58" s="119"/>
      <c r="V58" s="119"/>
      <c r="W58" s="119"/>
      <c r="X58" s="119"/>
      <c r="Y58" s="575"/>
      <c r="Z58" s="575"/>
      <c r="AA58" s="117"/>
    </row>
    <row r="59" spans="1:32" s="118" customFormat="1" x14ac:dyDescent="0.2">
      <c r="A59" s="69"/>
      <c r="B59" s="119" t="s">
        <v>229</v>
      </c>
      <c r="C59" s="69">
        <f>'Level 2'!$K$110</f>
        <v>4</v>
      </c>
      <c r="D59" s="69">
        <f>'Level 2'!K112</f>
        <v>0</v>
      </c>
      <c r="E59" s="69">
        <f>'Level 2'!$K$111</f>
        <v>5</v>
      </c>
      <c r="F59" s="69">
        <f>'Level 2'!$K$113</f>
        <v>0</v>
      </c>
      <c r="G59" s="69"/>
      <c r="H59" s="69"/>
      <c r="I59" s="69"/>
      <c r="J59" s="69"/>
      <c r="K59" s="69"/>
      <c r="L59" s="69"/>
      <c r="N59" s="118" t="str">
        <f>'Level 1'!$J$25</f>
        <v>BUCK LINEAR FEET</v>
      </c>
      <c r="O59" s="118">
        <f>'Level 1'!L25</f>
        <v>0</v>
      </c>
      <c r="P59" s="118">
        <f>IF(N59="BUCK LINEAR FEET",O59,O59/4)</f>
        <v>0</v>
      </c>
      <c r="Q59" s="118">
        <f t="shared" ref="Q59:Q68" si="11">IF(N59="BBUCK-400",ROUNDUP(P59/20,0),IF(N59="BBUCK-600",ROUNDUP(P59/18,0),IF(N59="BBUCK-800",ROUNDUP(P59/16,0),P59)))</f>
        <v>0</v>
      </c>
      <c r="Y59" s="117"/>
      <c r="Z59" s="117"/>
      <c r="AA59" s="117"/>
    </row>
    <row r="60" spans="1:32" s="118" customFormat="1" x14ac:dyDescent="0.2">
      <c r="A60" s="69"/>
      <c r="B60" s="119" t="s">
        <v>230</v>
      </c>
      <c r="C60" s="69">
        <f>'Level 3'!$K$109</f>
        <v>0</v>
      </c>
      <c r="D60" s="69">
        <f>'Level 3'!K111</f>
        <v>5</v>
      </c>
      <c r="E60" s="69">
        <f>'Level 3'!$K$110</f>
        <v>4</v>
      </c>
      <c r="F60" s="69">
        <f>'Level 3'!$K$112</f>
        <v>0</v>
      </c>
      <c r="G60" s="69"/>
      <c r="H60" s="69"/>
      <c r="I60" s="69"/>
      <c r="J60" s="69"/>
      <c r="K60" s="69"/>
      <c r="L60" s="69"/>
      <c r="N60" s="118" t="str">
        <f>'Level 2'!J25</f>
        <v>BUCK LINEAR FEET</v>
      </c>
      <c r="O60" s="118">
        <f>'Level 2'!L25</f>
        <v>0</v>
      </c>
      <c r="P60" s="118">
        <f t="shared" ref="P60:P68" si="12">IF(N60="BUCK LINEAR FEET",O60,O60/4)</f>
        <v>0</v>
      </c>
      <c r="Q60" s="118">
        <f t="shared" si="11"/>
        <v>0</v>
      </c>
      <c r="Y60" s="117"/>
      <c r="Z60" s="117"/>
      <c r="AA60" s="117"/>
    </row>
    <row r="61" spans="1:32" s="118" customFormat="1" x14ac:dyDescent="0.2">
      <c r="A61" s="69"/>
      <c r="B61" s="119" t="s">
        <v>231</v>
      </c>
      <c r="C61" s="69">
        <f>'Level 4'!$K$109</f>
        <v>0</v>
      </c>
      <c r="D61" s="69">
        <f>'Level 4'!K111</f>
        <v>5</v>
      </c>
      <c r="E61" s="69">
        <f>'Level 4'!$K$110</f>
        <v>4</v>
      </c>
      <c r="F61" s="69">
        <f>'Level 4'!$K$112</f>
        <v>0</v>
      </c>
      <c r="G61" s="69"/>
      <c r="H61" s="69"/>
      <c r="I61" s="69"/>
      <c r="J61" s="69"/>
      <c r="K61" s="69"/>
      <c r="L61" s="69"/>
      <c r="N61" s="118" t="str">
        <f>'Level 3'!J25</f>
        <v>BUCK LINEAR FEET</v>
      </c>
      <c r="O61" s="118">
        <f>'Level 3'!L25</f>
        <v>0</v>
      </c>
      <c r="P61" s="118">
        <f t="shared" si="12"/>
        <v>0</v>
      </c>
      <c r="Q61" s="118">
        <f t="shared" si="11"/>
        <v>0</v>
      </c>
      <c r="Y61" s="117"/>
      <c r="Z61" s="117"/>
      <c r="AA61" s="117"/>
    </row>
    <row r="62" spans="1:32" s="118" customFormat="1" x14ac:dyDescent="0.2">
      <c r="B62" s="119" t="s">
        <v>232</v>
      </c>
      <c r="C62" s="69">
        <f>'Level 5'!$K$109</f>
        <v>0</v>
      </c>
      <c r="D62" s="69">
        <f>'Level 5'!K111</f>
        <v>5</v>
      </c>
      <c r="E62" s="69">
        <f>'Level 5'!$K$110</f>
        <v>4</v>
      </c>
      <c r="F62" s="69">
        <f>'Level 5'!$K$112</f>
        <v>0</v>
      </c>
      <c r="G62" s="69"/>
      <c r="H62" s="69"/>
      <c r="I62" s="69"/>
      <c r="J62" s="69"/>
      <c r="K62" s="69"/>
      <c r="L62" s="69"/>
      <c r="N62" s="118" t="str">
        <f>'Level 4'!J25</f>
        <v>BUCK LINEAR FEET</v>
      </c>
      <c r="O62" s="118">
        <f>'Level 4'!L25</f>
        <v>0</v>
      </c>
      <c r="P62" s="118">
        <f t="shared" si="12"/>
        <v>0</v>
      </c>
      <c r="Q62" s="118">
        <f t="shared" si="11"/>
        <v>0</v>
      </c>
      <c r="Y62" s="117"/>
      <c r="Z62" s="117"/>
      <c r="AA62" s="117"/>
    </row>
    <row r="63" spans="1:32" s="118" customFormat="1" x14ac:dyDescent="0.2">
      <c r="B63" s="119" t="s">
        <v>233</v>
      </c>
      <c r="C63" s="69">
        <f>'Level 6'!$K$109</f>
        <v>0</v>
      </c>
      <c r="D63" s="69">
        <f>'Level 6'!K111</f>
        <v>5</v>
      </c>
      <c r="E63" s="69">
        <f>'Level 6'!$K$110</f>
        <v>4</v>
      </c>
      <c r="F63" s="69">
        <f>'Level 6'!$K$112</f>
        <v>0</v>
      </c>
      <c r="L63" s="69"/>
      <c r="N63" s="118" t="str">
        <f>'Level 5'!J25</f>
        <v>BUCK LINEAR FEET</v>
      </c>
      <c r="O63" s="118">
        <f>'Level 5'!L25</f>
        <v>0</v>
      </c>
      <c r="P63" s="118">
        <f t="shared" si="12"/>
        <v>0</v>
      </c>
      <c r="Q63" s="118">
        <f t="shared" si="11"/>
        <v>0</v>
      </c>
      <c r="Y63" s="117"/>
      <c r="Z63" s="117"/>
      <c r="AA63" s="117"/>
    </row>
    <row r="64" spans="1:32" s="118" customFormat="1" x14ac:dyDescent="0.2">
      <c r="B64" s="119" t="s">
        <v>234</v>
      </c>
      <c r="C64" s="69">
        <f>'Level 7'!$K$109</f>
        <v>0</v>
      </c>
      <c r="D64" s="69">
        <f>'Level 7'!K111</f>
        <v>5</v>
      </c>
      <c r="E64" s="69">
        <f>'Level 7'!$K$110</f>
        <v>4</v>
      </c>
      <c r="F64" s="69">
        <f>'Level 7'!$K$112</f>
        <v>0</v>
      </c>
      <c r="L64" s="69"/>
      <c r="N64" s="118" t="str">
        <f>'Level 6'!J25</f>
        <v>BUCK LINEAR FEET</v>
      </c>
      <c r="O64" s="118">
        <f>'Level 6'!L25</f>
        <v>0</v>
      </c>
      <c r="P64" s="118">
        <f t="shared" si="12"/>
        <v>0</v>
      </c>
      <c r="Q64" s="118">
        <f t="shared" si="11"/>
        <v>0</v>
      </c>
      <c r="Y64" s="117"/>
      <c r="Z64" s="117"/>
      <c r="AA64" s="117"/>
    </row>
    <row r="65" spans="2:27" s="118" customFormat="1" x14ac:dyDescent="0.2">
      <c r="B65" s="119" t="s">
        <v>235</v>
      </c>
      <c r="C65" s="69">
        <f>'Level 8'!$K$109</f>
        <v>0</v>
      </c>
      <c r="D65" s="69">
        <f>'Level 8'!K111</f>
        <v>5</v>
      </c>
      <c r="E65" s="69">
        <f>'Level 8'!$K$110</f>
        <v>4</v>
      </c>
      <c r="F65" s="69">
        <f>'Level 8'!$K$112</f>
        <v>0</v>
      </c>
      <c r="J65" s="123"/>
      <c r="K65" s="123"/>
      <c r="L65" s="69"/>
      <c r="N65" s="118" t="str">
        <f>'Level 7'!J25</f>
        <v>BUCK LINEAR FEET</v>
      </c>
      <c r="O65" s="118">
        <f>'Level 7'!L25</f>
        <v>0</v>
      </c>
      <c r="P65" s="118">
        <f t="shared" si="12"/>
        <v>0</v>
      </c>
      <c r="Q65" s="118">
        <f t="shared" si="11"/>
        <v>0</v>
      </c>
      <c r="Y65" s="117"/>
      <c r="Z65" s="117"/>
      <c r="AA65" s="117"/>
    </row>
    <row r="66" spans="2:27" s="118" customFormat="1" x14ac:dyDescent="0.2">
      <c r="B66" s="119" t="s">
        <v>236</v>
      </c>
      <c r="C66" s="69">
        <f>'Level 9'!$K$109</f>
        <v>0</v>
      </c>
      <c r="D66" s="69">
        <f>'Level 9'!K111</f>
        <v>5</v>
      </c>
      <c r="E66" s="69">
        <f>'Level 9'!$K$110</f>
        <v>4</v>
      </c>
      <c r="F66" s="69">
        <f>'Level 9'!$K$112</f>
        <v>0</v>
      </c>
      <c r="J66" s="123"/>
      <c r="K66" s="123"/>
      <c r="L66" s="69"/>
      <c r="N66" s="118" t="str">
        <f>'Level 8'!J25</f>
        <v>BUCK LINEAR FEET</v>
      </c>
      <c r="O66" s="118">
        <f>'Level 8'!L25</f>
        <v>0</v>
      </c>
      <c r="P66" s="118">
        <f t="shared" si="12"/>
        <v>0</v>
      </c>
      <c r="Q66" s="118">
        <f t="shared" si="11"/>
        <v>0</v>
      </c>
      <c r="Y66" s="117"/>
      <c r="Z66" s="117"/>
      <c r="AA66" s="117"/>
    </row>
    <row r="67" spans="2:27" s="118" customFormat="1" x14ac:dyDescent="0.2">
      <c r="B67" s="119" t="s">
        <v>237</v>
      </c>
      <c r="C67" s="69">
        <f>'Level 10'!$K$109</f>
        <v>0</v>
      </c>
      <c r="D67" s="69">
        <f>'Level 10'!K111</f>
        <v>5</v>
      </c>
      <c r="E67" s="69">
        <f>'Level 10'!$K$110</f>
        <v>4</v>
      </c>
      <c r="F67" s="69">
        <f>'Level 10'!$K$112</f>
        <v>0</v>
      </c>
      <c r="J67" s="123"/>
      <c r="K67" s="123"/>
      <c r="L67" s="69"/>
      <c r="N67" s="118" t="str">
        <f>'Level 9'!J25</f>
        <v>BUCK LINEAR FEET</v>
      </c>
      <c r="O67" s="118">
        <f>'Level 9'!L25</f>
        <v>0</v>
      </c>
      <c r="P67" s="118">
        <f t="shared" si="12"/>
        <v>0</v>
      </c>
      <c r="Q67" s="118">
        <f t="shared" si="11"/>
        <v>0</v>
      </c>
      <c r="Y67" s="117"/>
      <c r="Z67" s="117"/>
      <c r="AA67" s="117"/>
    </row>
    <row r="68" spans="2:27" s="118" customFormat="1" x14ac:dyDescent="0.2">
      <c r="J68" s="123"/>
      <c r="K68" s="123"/>
      <c r="L68" s="69"/>
      <c r="N68" s="118" t="str">
        <f>'Level 10'!J25</f>
        <v>BUCK LINEAR FEET</v>
      </c>
      <c r="O68" s="118">
        <f>'Level 10'!L25</f>
        <v>0</v>
      </c>
      <c r="P68" s="118">
        <f t="shared" si="12"/>
        <v>0</v>
      </c>
      <c r="Q68" s="118">
        <f t="shared" si="11"/>
        <v>0</v>
      </c>
      <c r="Y68" s="117"/>
      <c r="Z68" s="117"/>
      <c r="AA68" s="117"/>
    </row>
    <row r="69" spans="2:27" s="118" customFormat="1" x14ac:dyDescent="0.2">
      <c r="C69" s="69">
        <v>3</v>
      </c>
      <c r="D69" s="69">
        <f t="shared" ref="D69:D74" si="13">SUMIF($C$46:$C$55,C69,$D$46:$D$55)</f>
        <v>0</v>
      </c>
      <c r="E69" s="69">
        <f t="shared" ref="E69:E74" si="14">SUMIF($E$46:$E$55,C69,$F$46:$F$55)</f>
        <v>0</v>
      </c>
      <c r="F69" s="69">
        <f t="shared" ref="F69:F74" si="15">SUMIF($G$46:$G$55,C69,$H$46:$H$55)</f>
        <v>0</v>
      </c>
      <c r="G69" s="118">
        <f t="shared" ref="G69:G74" si="16">SUMIF($C$58:$C$67,C69,$D$58:$D$67)</f>
        <v>0</v>
      </c>
      <c r="H69" s="118">
        <f t="shared" ref="H69:H74" si="17">SUMIF($E$58:$E$67,C69,$F$58:$F$67)</f>
        <v>0</v>
      </c>
      <c r="I69" s="118">
        <f t="shared" ref="I69:I74" si="18">SUM(D69:H69)</f>
        <v>0</v>
      </c>
      <c r="J69" s="69" t="str">
        <f t="shared" ref="J69:J74" si="19">IF(I69&gt;0,C69,"")</f>
        <v/>
      </c>
      <c r="K69" s="69" t="str">
        <f t="array" aca="1" ref="K69" ca="1">IFERROR(INDEX(Rebar,SMALL((IF(LEN(Rebar),ROW(INDIRECT("1:"&amp;ROWS(Rebar))))),ROW(A1)),1),"")</f>
        <v/>
      </c>
      <c r="L69" s="69"/>
    </row>
    <row r="70" spans="2:27" s="118" customFormat="1" x14ac:dyDescent="0.2">
      <c r="C70" s="69">
        <v>4</v>
      </c>
      <c r="D70" s="69">
        <f t="shared" si="13"/>
        <v>0</v>
      </c>
      <c r="E70" s="69">
        <f t="shared" si="14"/>
        <v>0</v>
      </c>
      <c r="F70" s="69">
        <f t="shared" si="15"/>
        <v>0</v>
      </c>
      <c r="G70" s="118">
        <f t="shared" si="16"/>
        <v>0</v>
      </c>
      <c r="H70" s="118">
        <f t="shared" si="17"/>
        <v>0</v>
      </c>
      <c r="I70" s="118">
        <f t="shared" si="18"/>
        <v>0</v>
      </c>
      <c r="J70" s="69" t="str">
        <f t="shared" si="19"/>
        <v/>
      </c>
      <c r="K70" s="69" t="str">
        <f t="array" aca="1" ref="K70" ca="1">IFERROR(INDEX(Rebar,SMALL((IF(LEN(Rebar),ROW(INDIRECT("1:"&amp;ROWS(Rebar))))),ROW(A2)),1),"")</f>
        <v/>
      </c>
      <c r="L70" s="69"/>
    </row>
    <row r="71" spans="2:27" s="118" customFormat="1" x14ac:dyDescent="0.2">
      <c r="C71" s="69">
        <v>5</v>
      </c>
      <c r="D71" s="69">
        <f t="shared" si="13"/>
        <v>0</v>
      </c>
      <c r="E71" s="69">
        <f t="shared" si="14"/>
        <v>0</v>
      </c>
      <c r="F71" s="69">
        <f t="shared" si="15"/>
        <v>0</v>
      </c>
      <c r="G71" s="118">
        <f t="shared" si="16"/>
        <v>0</v>
      </c>
      <c r="H71" s="118">
        <f t="shared" si="17"/>
        <v>0</v>
      </c>
      <c r="I71" s="118">
        <f t="shared" si="18"/>
        <v>0</v>
      </c>
      <c r="J71" s="69" t="str">
        <f t="shared" si="19"/>
        <v/>
      </c>
      <c r="K71" s="69" t="str">
        <f t="array" aca="1" ref="K71" ca="1">IFERROR(INDEX(Rebar,SMALL((IF(LEN(Rebar),ROW(INDIRECT("1:"&amp;ROWS(Rebar))))),ROW(A3)),1),"")</f>
        <v/>
      </c>
      <c r="L71" s="69"/>
    </row>
    <row r="72" spans="2:27" s="118" customFormat="1" x14ac:dyDescent="0.2">
      <c r="C72" s="69">
        <v>6</v>
      </c>
      <c r="D72" s="69">
        <f t="shared" si="13"/>
        <v>0</v>
      </c>
      <c r="E72" s="69">
        <f t="shared" si="14"/>
        <v>0</v>
      </c>
      <c r="F72" s="69">
        <f t="shared" si="15"/>
        <v>0</v>
      </c>
      <c r="G72" s="118">
        <f t="shared" si="16"/>
        <v>0</v>
      </c>
      <c r="H72" s="118">
        <f t="shared" si="17"/>
        <v>0</v>
      </c>
      <c r="I72" s="118">
        <f t="shared" si="18"/>
        <v>0</v>
      </c>
      <c r="J72" s="69" t="str">
        <f t="shared" si="19"/>
        <v/>
      </c>
      <c r="K72" s="69" t="str">
        <f t="array" aca="1" ref="K72" ca="1">IFERROR(INDEX(Rebar,SMALL((IF(LEN(Rebar),ROW(INDIRECT("1:"&amp;ROWS(Rebar))))),ROW(A4)),1),"")</f>
        <v/>
      </c>
      <c r="L72" s="69"/>
    </row>
    <row r="73" spans="2:27" s="118" customFormat="1" x14ac:dyDescent="0.2">
      <c r="C73" s="69">
        <v>7</v>
      </c>
      <c r="D73" s="69">
        <f t="shared" si="13"/>
        <v>0</v>
      </c>
      <c r="E73" s="69">
        <f t="shared" si="14"/>
        <v>0</v>
      </c>
      <c r="F73" s="69">
        <f t="shared" si="15"/>
        <v>0</v>
      </c>
      <c r="G73" s="118">
        <f t="shared" si="16"/>
        <v>0</v>
      </c>
      <c r="H73" s="118">
        <f t="shared" si="17"/>
        <v>0</v>
      </c>
      <c r="I73" s="118">
        <f t="shared" si="18"/>
        <v>0</v>
      </c>
      <c r="J73" s="69" t="str">
        <f t="shared" si="19"/>
        <v/>
      </c>
      <c r="K73" s="69" t="str">
        <f t="array" aca="1" ref="K73" ca="1">IFERROR(INDEX(Rebar,SMALL((IF(LEN(Rebar),ROW(INDIRECT("1:"&amp;ROWS(Rebar))))),ROW(A5)),1),"")</f>
        <v/>
      </c>
      <c r="L73" s="69"/>
    </row>
    <row r="74" spans="2:27" s="118" customFormat="1" x14ac:dyDescent="0.2">
      <c r="C74" s="69">
        <v>8</v>
      </c>
      <c r="D74" s="69">
        <f t="shared" si="13"/>
        <v>0</v>
      </c>
      <c r="E74" s="69">
        <f t="shared" si="14"/>
        <v>0</v>
      </c>
      <c r="F74" s="69">
        <f t="shared" si="15"/>
        <v>0</v>
      </c>
      <c r="G74" s="118">
        <f t="shared" si="16"/>
        <v>0</v>
      </c>
      <c r="H74" s="118">
        <f t="shared" si="17"/>
        <v>0</v>
      </c>
      <c r="I74" s="118">
        <f t="shared" si="18"/>
        <v>0</v>
      </c>
      <c r="J74" s="69" t="str">
        <f t="shared" si="19"/>
        <v/>
      </c>
      <c r="K74" s="69" t="str">
        <f t="array" aca="1" ref="K74" ca="1">IFERROR(INDEX(Rebar,SMALL((IF(LEN(Rebar),ROW(INDIRECT("1:"&amp;ROWS(Rebar))))),ROW(A6)),1),"")</f>
        <v/>
      </c>
      <c r="L74" s="69"/>
    </row>
    <row r="75" spans="2:27" s="118" customFormat="1" x14ac:dyDescent="0.2">
      <c r="J75" s="123"/>
      <c r="K75" s="123"/>
      <c r="L75" s="69"/>
    </row>
    <row r="97" spans="3:3" x14ac:dyDescent="0.2">
      <c r="C97" s="117" t="s">
        <v>243</v>
      </c>
    </row>
  </sheetData>
  <sheetProtection sheet="1" objects="1" scenarios="1" selectLockedCells="1"/>
  <mergeCells count="43">
    <mergeCell ref="G32:H32"/>
    <mergeCell ref="E42:F42"/>
    <mergeCell ref="E43:F43"/>
    <mergeCell ref="B36:C36"/>
    <mergeCell ref="B37:C37"/>
    <mergeCell ref="B38:C38"/>
    <mergeCell ref="E36:F36"/>
    <mergeCell ref="E37:F37"/>
    <mergeCell ref="E38:F38"/>
    <mergeCell ref="B42:C42"/>
    <mergeCell ref="B43:C43"/>
    <mergeCell ref="H3:K3"/>
    <mergeCell ref="J38:K38"/>
    <mergeCell ref="B33:C33"/>
    <mergeCell ref="G38:H38"/>
    <mergeCell ref="G36:H36"/>
    <mergeCell ref="G37:H37"/>
    <mergeCell ref="J10:K10"/>
    <mergeCell ref="J35:K35"/>
    <mergeCell ref="I7:K7"/>
    <mergeCell ref="J8:K8"/>
    <mergeCell ref="J9:K9"/>
    <mergeCell ref="B11:K11"/>
    <mergeCell ref="B35:H35"/>
    <mergeCell ref="G26:H26"/>
    <mergeCell ref="G27:H27"/>
    <mergeCell ref="C7:D7"/>
    <mergeCell ref="G28:H28"/>
    <mergeCell ref="G29:H29"/>
    <mergeCell ref="G30:H30"/>
    <mergeCell ref="E6:K6"/>
    <mergeCell ref="B39:K41"/>
    <mergeCell ref="C8:E8"/>
    <mergeCell ref="C9:E9"/>
    <mergeCell ref="C10:E10"/>
    <mergeCell ref="F7:H7"/>
    <mergeCell ref="F8:H8"/>
    <mergeCell ref="F9:H9"/>
    <mergeCell ref="F10:H10"/>
    <mergeCell ref="G31:H31"/>
    <mergeCell ref="G33:H33"/>
    <mergeCell ref="G34:H34"/>
    <mergeCell ref="B32:C32"/>
  </mergeCells>
  <dataValidations count="2">
    <dataValidation type="list" allowBlank="1" showInputMessage="1" showErrorMessage="1" sqref="J9" xr:uid="{00000000-0002-0000-0000-000000000000}">
      <formula1>$M$7:$M$10</formula1>
    </dataValidation>
    <dataValidation type="list" allowBlank="1" showInputMessage="1" showErrorMessage="1" sqref="C34" xr:uid="{00000000-0002-0000-0000-000001000000}">
      <formula1>$J$45:$J$47</formula1>
    </dataValidation>
  </dataValidations>
  <pageMargins left="0.45" right="0.4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18"/>
  <sheetViews>
    <sheetView tabSelected="1"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 style="235" bestFit="1" customWidth="1"/>
    <col min="4" max="4" width="9.5703125" style="235" bestFit="1" customWidth="1"/>
    <col min="5" max="5" width="3" style="235" bestFit="1" customWidth="1"/>
    <col min="6" max="6" width="8.7109375" style="235" bestFit="1" customWidth="1"/>
    <col min="7" max="7" width="12.140625" style="235" bestFit="1" customWidth="1"/>
    <col min="8" max="8" width="10.7109375" style="235" customWidth="1"/>
    <col min="9" max="9" width="15.7109375" style="235" bestFit="1" customWidth="1"/>
    <col min="10" max="10" width="13.5703125" style="235" customWidth="1"/>
    <col min="11" max="11" width="9.7109375" style="309" customWidth="1"/>
    <col min="12" max="12" width="12.28515625" style="309" customWidth="1"/>
    <col min="13" max="13" width="5.28515625" style="235" customWidth="1"/>
    <col min="14" max="14" width="7.5703125" style="235" customWidth="1"/>
    <col min="15" max="15" width="8.7109375" style="316" customWidth="1"/>
    <col min="16" max="16" width="9.140625" style="235"/>
    <col min="17" max="17" width="12.85546875" style="235" customWidth="1"/>
    <col min="18" max="18" width="9.140625" style="316"/>
    <col min="19" max="19" width="10.85546875" style="316" customWidth="1"/>
    <col min="20" max="20" width="10.7109375" style="235" customWidth="1"/>
    <col min="21" max="21" width="7.85546875" style="235" bestFit="1" customWidth="1"/>
    <col min="22" max="22" width="9.85546875" style="235" bestFit="1" customWidth="1"/>
    <col min="23" max="24" width="9.140625" style="235"/>
    <col min="25" max="25" width="14.42578125" style="235" customWidth="1"/>
    <col min="26" max="26" width="13.85546875" style="235" bestFit="1" customWidth="1"/>
    <col min="27" max="16384" width="9.140625" style="235"/>
  </cols>
  <sheetData>
    <row r="1" spans="2:29"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c r="AB1" s="234"/>
    </row>
    <row r="2" spans="2:29" ht="15" customHeight="1" x14ac:dyDescent="0.25">
      <c r="B2" s="236"/>
      <c r="C2" s="237"/>
      <c r="D2" s="237"/>
      <c r="E2" s="237"/>
      <c r="F2" s="237"/>
      <c r="G2" s="237"/>
      <c r="H2" s="237"/>
      <c r="I2" s="237"/>
      <c r="J2" s="237"/>
      <c r="K2" s="237"/>
      <c r="L2" s="238"/>
      <c r="M2" s="233"/>
      <c r="N2" s="232"/>
      <c r="O2" s="232"/>
      <c r="P2" s="403"/>
      <c r="Q2" s="403"/>
      <c r="R2" s="403"/>
      <c r="S2" s="403"/>
      <c r="T2" s="403"/>
      <c r="U2" s="403"/>
      <c r="V2" s="403"/>
      <c r="W2" s="758" t="s">
        <v>556</v>
      </c>
      <c r="X2" s="758"/>
      <c r="Y2" s="193" t="s">
        <v>258</v>
      </c>
      <c r="Z2" s="193" t="s">
        <v>32</v>
      </c>
      <c r="AA2" s="404"/>
      <c r="AB2" s="234"/>
      <c r="AC2" s="234"/>
    </row>
    <row r="3" spans="2:29" x14ac:dyDescent="0.25">
      <c r="B3" s="236"/>
      <c r="C3" s="237"/>
      <c r="D3" s="237"/>
      <c r="E3" s="237"/>
      <c r="F3" s="237"/>
      <c r="G3" s="237"/>
      <c r="H3" s="237"/>
      <c r="I3" s="237"/>
      <c r="J3" s="237"/>
      <c r="K3" s="237"/>
      <c r="L3" s="238"/>
      <c r="M3" s="233"/>
      <c r="N3" s="233">
        <v>1</v>
      </c>
      <c r="O3" s="232" t="s">
        <v>6</v>
      </c>
      <c r="P3" s="232" t="s">
        <v>5</v>
      </c>
      <c r="Q3" s="240" t="s">
        <v>204</v>
      </c>
      <c r="R3" s="232" t="s">
        <v>14</v>
      </c>
      <c r="S3" s="232" t="s">
        <v>15</v>
      </c>
      <c r="T3" s="232" t="s">
        <v>208</v>
      </c>
      <c r="U3" s="232" t="s">
        <v>16</v>
      </c>
      <c r="V3" s="232" t="s">
        <v>17</v>
      </c>
      <c r="W3" s="758"/>
      <c r="X3" s="758"/>
      <c r="Y3" s="239"/>
      <c r="Z3" s="239"/>
      <c r="AA3" s="404"/>
      <c r="AB3" s="234"/>
      <c r="AC3" s="234"/>
    </row>
    <row r="4" spans="2:29" x14ac:dyDescent="0.25">
      <c r="B4" s="236"/>
      <c r="C4" s="237"/>
      <c r="D4" s="237"/>
      <c r="E4" s="237"/>
      <c r="F4" s="237"/>
      <c r="G4" s="237"/>
      <c r="H4" s="237"/>
      <c r="I4" s="237"/>
      <c r="J4" s="237"/>
      <c r="K4" s="241"/>
      <c r="L4" s="242"/>
      <c r="M4" s="233"/>
      <c r="N4" s="233">
        <v>2</v>
      </c>
      <c r="O4" s="232" t="s">
        <v>0</v>
      </c>
      <c r="P4" s="232">
        <v>5.33</v>
      </c>
      <c r="Q4" s="233" t="s">
        <v>42</v>
      </c>
      <c r="R4" s="232">
        <v>5.55</v>
      </c>
      <c r="S4" s="232">
        <v>3.56</v>
      </c>
      <c r="T4" s="233" t="s">
        <v>43</v>
      </c>
      <c r="U4" s="232">
        <v>4.8899999999999997</v>
      </c>
      <c r="V4" s="232">
        <v>4.0599999999999996</v>
      </c>
      <c r="W4" s="758"/>
      <c r="X4" s="758"/>
      <c r="Y4" s="594" t="s">
        <v>554</v>
      </c>
      <c r="Z4" s="594" t="s">
        <v>555</v>
      </c>
      <c r="AA4" s="404"/>
      <c r="AB4" s="234"/>
      <c r="AC4" s="234"/>
    </row>
    <row r="5" spans="2:29" ht="15.75" thickBot="1" x14ac:dyDescent="0.3">
      <c r="B5" s="244"/>
      <c r="C5" s="245"/>
      <c r="D5" s="237"/>
      <c r="E5" s="237"/>
      <c r="F5" s="237"/>
      <c r="G5" s="237"/>
      <c r="H5" s="237"/>
      <c r="I5" s="237"/>
      <c r="J5" s="245"/>
      <c r="K5" s="246"/>
      <c r="L5" s="247"/>
      <c r="M5" s="233"/>
      <c r="N5" s="233">
        <v>3</v>
      </c>
      <c r="O5" s="233" t="s">
        <v>199</v>
      </c>
      <c r="P5" s="232">
        <v>5.33</v>
      </c>
      <c r="Q5" s="233" t="s">
        <v>205</v>
      </c>
      <c r="R5" s="233">
        <v>7.56</v>
      </c>
      <c r="S5" s="233">
        <v>5.56</v>
      </c>
      <c r="T5" s="233" t="s">
        <v>43</v>
      </c>
      <c r="U5" s="232">
        <v>4.8899999999999997</v>
      </c>
      <c r="V5" s="232">
        <v>4.0599999999999996</v>
      </c>
      <c r="W5" s="758"/>
      <c r="X5" s="758"/>
      <c r="Y5" s="239"/>
      <c r="Z5" s="239"/>
      <c r="AA5" s="404"/>
      <c r="AB5" s="234"/>
      <c r="AC5" s="234"/>
    </row>
    <row r="6" spans="2:29" ht="15.75" thickBot="1" x14ac:dyDescent="0.3">
      <c r="B6" s="248" t="s">
        <v>31</v>
      </c>
      <c r="C6" s="715" t="s">
        <v>551</v>
      </c>
      <c r="D6" s="766"/>
      <c r="E6" s="766"/>
      <c r="F6" s="716"/>
      <c r="G6" s="249" t="s">
        <v>114</v>
      </c>
      <c r="H6" s="715" t="s">
        <v>552</v>
      </c>
      <c r="I6" s="716"/>
      <c r="J6" s="749" t="str">
        <f ca="1">RIGHT(CELL("filename",E2),LEN(CELL("filename",E2))-FIND("]",CELL("filename",E2)))</f>
        <v>Level 1</v>
      </c>
      <c r="K6" s="749"/>
      <c r="L6" s="701"/>
      <c r="M6" s="233"/>
      <c r="N6" s="233">
        <v>4</v>
      </c>
      <c r="O6" s="233" t="s">
        <v>200</v>
      </c>
      <c r="P6" s="232">
        <v>5.33</v>
      </c>
      <c r="Q6" s="240" t="s">
        <v>42</v>
      </c>
      <c r="R6" s="233">
        <v>5.55</v>
      </c>
      <c r="S6" s="233">
        <v>3.56</v>
      </c>
      <c r="T6" s="233" t="s">
        <v>43</v>
      </c>
      <c r="U6" s="232">
        <v>4.8899999999999997</v>
      </c>
      <c r="V6" s="232">
        <v>4.0599999999999996</v>
      </c>
      <c r="W6" s="758"/>
      <c r="X6" s="758"/>
      <c r="Y6" s="239"/>
      <c r="Z6" s="239"/>
      <c r="AA6" s="404"/>
      <c r="AB6" s="234"/>
      <c r="AC6" s="234"/>
    </row>
    <row r="7" spans="2:29" ht="15.75" thickBot="1" x14ac:dyDescent="0.3">
      <c r="B7" s="250" t="s">
        <v>32</v>
      </c>
      <c r="C7" s="761" t="s">
        <v>32</v>
      </c>
      <c r="D7" s="767"/>
      <c r="E7" s="767"/>
      <c r="F7" s="767"/>
      <c r="G7" s="762"/>
      <c r="H7" s="761"/>
      <c r="I7" s="762"/>
      <c r="J7" s="1" t="s">
        <v>121</v>
      </c>
      <c r="K7" s="754" t="s">
        <v>121</v>
      </c>
      <c r="L7" s="755"/>
      <c r="M7" s="233"/>
      <c r="N7" s="233">
        <v>5</v>
      </c>
      <c r="O7" s="232" t="s">
        <v>1</v>
      </c>
      <c r="P7" s="232">
        <v>5.33</v>
      </c>
      <c r="Q7" s="240" t="s">
        <v>44</v>
      </c>
      <c r="R7" s="232">
        <v>6</v>
      </c>
      <c r="S7" s="232">
        <v>3.56</v>
      </c>
      <c r="T7" s="233" t="s">
        <v>45</v>
      </c>
      <c r="U7" s="232">
        <v>4.8899999999999997</v>
      </c>
      <c r="V7" s="232">
        <v>3.88</v>
      </c>
      <c r="W7" s="758"/>
      <c r="X7" s="758"/>
      <c r="Y7" s="239"/>
      <c r="Z7" s="239"/>
      <c r="AA7" s="404"/>
      <c r="AB7" s="234"/>
      <c r="AC7" s="234"/>
    </row>
    <row r="8" spans="2:29" ht="15.75" thickBot="1" x14ac:dyDescent="0.3">
      <c r="B8" s="251" t="s">
        <v>38</v>
      </c>
      <c r="C8" s="715" t="s">
        <v>38</v>
      </c>
      <c r="D8" s="766"/>
      <c r="E8" s="766"/>
      <c r="F8" s="766"/>
      <c r="G8" s="716"/>
      <c r="H8" s="715" t="s">
        <v>38</v>
      </c>
      <c r="I8" s="716"/>
      <c r="J8" s="252" t="s">
        <v>33</v>
      </c>
      <c r="K8" s="750" t="s">
        <v>554</v>
      </c>
      <c r="L8" s="751"/>
      <c r="M8" s="232"/>
      <c r="N8" s="233">
        <v>6</v>
      </c>
      <c r="O8" s="232" t="s">
        <v>201</v>
      </c>
      <c r="P8" s="232">
        <v>5.33</v>
      </c>
      <c r="Q8" s="240" t="s">
        <v>206</v>
      </c>
      <c r="R8" s="233">
        <v>8</v>
      </c>
      <c r="S8" s="233">
        <v>5.56</v>
      </c>
      <c r="T8" s="233" t="s">
        <v>45</v>
      </c>
      <c r="U8" s="232">
        <v>4.8899999999999997</v>
      </c>
      <c r="V8" s="232">
        <v>3.88</v>
      </c>
      <c r="W8" s="758"/>
      <c r="X8" s="758"/>
      <c r="Y8" s="239"/>
      <c r="Z8" s="239"/>
      <c r="AA8" s="404"/>
      <c r="AB8" s="234"/>
      <c r="AC8" s="234"/>
    </row>
    <row r="9" spans="2:29" ht="15.75" thickBot="1" x14ac:dyDescent="0.3">
      <c r="B9" s="253"/>
      <c r="C9" s="715" t="s">
        <v>131</v>
      </c>
      <c r="D9" s="766"/>
      <c r="E9" s="766"/>
      <c r="F9" s="766"/>
      <c r="G9" s="716"/>
      <c r="H9" s="715" t="s">
        <v>131</v>
      </c>
      <c r="I9" s="716"/>
      <c r="J9" s="254" t="s">
        <v>32</v>
      </c>
      <c r="K9" s="752" t="str">
        <f>VLOOKUP(K8,Y4:Z8,2,0)</f>
        <v>Number</v>
      </c>
      <c r="L9" s="753"/>
      <c r="M9" s="233"/>
      <c r="N9" s="233">
        <v>7</v>
      </c>
      <c r="O9" s="232" t="s">
        <v>202</v>
      </c>
      <c r="P9" s="232">
        <v>5.33</v>
      </c>
      <c r="Q9" s="240" t="s">
        <v>44</v>
      </c>
      <c r="R9" s="233">
        <v>6</v>
      </c>
      <c r="S9" s="233">
        <v>3.56</v>
      </c>
      <c r="T9" s="233" t="s">
        <v>45</v>
      </c>
      <c r="U9" s="232">
        <v>4.8899999999999997</v>
      </c>
      <c r="V9" s="232">
        <v>3.88</v>
      </c>
      <c r="W9" s="232"/>
      <c r="X9" s="232"/>
      <c r="Y9" s="239"/>
      <c r="Z9" s="239"/>
      <c r="AA9" s="404"/>
      <c r="AB9" s="234"/>
      <c r="AC9" s="234"/>
    </row>
    <row r="10" spans="2:29" ht="15.75" thickBot="1" x14ac:dyDescent="0.3">
      <c r="B10" s="725" t="s">
        <v>64</v>
      </c>
      <c r="C10" s="748"/>
      <c r="D10" s="726"/>
      <c r="E10" s="230"/>
      <c r="F10" s="768">
        <v>1</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c r="Z10" s="239"/>
      <c r="AA10" s="404"/>
      <c r="AB10" s="234"/>
      <c r="AC10" s="234"/>
    </row>
    <row r="11" spans="2:29"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193"/>
      <c r="Z11" s="193"/>
      <c r="AA11" s="404"/>
      <c r="AB11" s="234"/>
      <c r="AC11" s="234"/>
    </row>
    <row r="12" spans="2:29"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193"/>
      <c r="Z12" s="193"/>
      <c r="AA12" s="404"/>
      <c r="AB12" s="234"/>
      <c r="AC12" s="234"/>
    </row>
    <row r="13" spans="2:29" ht="15.75" thickBot="1" x14ac:dyDescent="0.3">
      <c r="B13" s="267"/>
      <c r="C13" s="6">
        <v>0</v>
      </c>
      <c r="D13" s="7">
        <v>0</v>
      </c>
      <c r="E13" s="268">
        <f>ROUNDUP((C13*12+D13)/16,1)</f>
        <v>0</v>
      </c>
      <c r="F13" s="26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403"/>
      <c r="Z13" s="403"/>
      <c r="AA13" s="404"/>
      <c r="AB13" s="234"/>
      <c r="AC13" s="234"/>
    </row>
    <row r="14" spans="2:29" ht="15.75" thickBot="1" x14ac:dyDescent="0.3">
      <c r="B14" s="262" t="s">
        <v>13</v>
      </c>
      <c r="C14" s="265" t="s">
        <v>7</v>
      </c>
      <c r="D14" s="401"/>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403"/>
      <c r="Z14" s="403"/>
      <c r="AA14" s="404"/>
      <c r="AB14" s="234"/>
      <c r="AC14" s="234"/>
    </row>
    <row r="15" spans="2:29" ht="15.75" thickBot="1" x14ac:dyDescent="0.3">
      <c r="B15" s="267"/>
      <c r="C15" s="8">
        <v>0</v>
      </c>
      <c r="D15" s="401"/>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403"/>
      <c r="Z15" s="403"/>
      <c r="AA15" s="404"/>
      <c r="AB15" s="234"/>
      <c r="AC15" s="234"/>
    </row>
    <row r="16" spans="2:29" ht="15.75" thickBot="1" x14ac:dyDescent="0.3">
      <c r="B16" s="732" t="s">
        <v>106</v>
      </c>
      <c r="C16" s="733"/>
      <c r="D16" s="661"/>
      <c r="E16" s="268" t="s">
        <v>0</v>
      </c>
      <c r="F16" s="725" t="s">
        <v>545</v>
      </c>
      <c r="G16" s="726"/>
      <c r="H16" s="273" t="s">
        <v>132</v>
      </c>
      <c r="I16" s="214">
        <v>0</v>
      </c>
      <c r="J16" s="673" t="s">
        <v>110</v>
      </c>
      <c r="K16" s="674"/>
      <c r="L16" s="274">
        <f>ROUNDUP(IF(ISNA(INDEX(S61:V67,MATCH(J11,R61:R67,0),MATCH(K15,S60:U60,0))),0,INDEX(S61:V67,MATCH(J11,R61:R67,0),MATCH(K15,S60:U60,0))),0)</f>
        <v>0</v>
      </c>
      <c r="M16" s="233"/>
      <c r="N16" s="233"/>
      <c r="O16" s="272"/>
      <c r="P16" s="232"/>
      <c r="Q16" s="232"/>
      <c r="R16" s="232"/>
      <c r="S16" s="232"/>
      <c r="T16" s="232"/>
      <c r="U16" s="232"/>
      <c r="V16" s="232"/>
      <c r="W16" s="232"/>
      <c r="X16" s="232"/>
      <c r="Y16" s="403"/>
      <c r="Z16" s="403"/>
      <c r="AA16" s="404"/>
      <c r="AB16" s="234"/>
      <c r="AC16" s="234"/>
    </row>
    <row r="17" spans="2:29" ht="15.75" customHeight="1" thickBot="1" x14ac:dyDescent="0.3">
      <c r="B17" s="256" t="s">
        <v>75</v>
      </c>
      <c r="C17" s="9">
        <v>0</v>
      </c>
      <c r="D17" s="661"/>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403"/>
      <c r="Z17" s="403"/>
      <c r="AA17" s="404"/>
      <c r="AB17" s="234"/>
      <c r="AC17" s="234"/>
    </row>
    <row r="18" spans="2:29" ht="15.75" thickBot="1" x14ac:dyDescent="0.3">
      <c r="B18" s="262" t="s">
        <v>76</v>
      </c>
      <c r="C18" s="10">
        <v>0</v>
      </c>
      <c r="D18" s="407">
        <v>2</v>
      </c>
      <c r="E18" s="268"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403"/>
      <c r="Z18" s="403"/>
      <c r="AA18" s="404"/>
      <c r="AB18" s="234"/>
    </row>
    <row r="19" spans="2:29" ht="15.75" thickBot="1" x14ac:dyDescent="0.3">
      <c r="B19" s="262" t="s">
        <v>77</v>
      </c>
      <c r="C19" s="10">
        <v>0</v>
      </c>
      <c r="D19" s="402"/>
      <c r="E19" s="268"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403"/>
      <c r="Z19" s="403"/>
      <c r="AA19" s="404"/>
      <c r="AB19" s="234"/>
    </row>
    <row r="20" spans="2:29" ht="15.75" thickBot="1" x14ac:dyDescent="0.3">
      <c r="B20" s="280" t="s">
        <v>78</v>
      </c>
      <c r="C20" s="11">
        <v>0</v>
      </c>
      <c r="D20" s="277" t="str">
        <f>IF(AND(C11=3,D18=1),"GB490",IF(AND(C11=3,D18=2),"BB490",IF(AND(C11=6,D18=1),"GB690",IF(AND(C11=6,D18=2),"BB690"," "))))</f>
        <v xml:space="preserve"> </v>
      </c>
      <c r="E20" s="268" t="s">
        <v>4</v>
      </c>
      <c r="F20" s="212">
        <v>1</v>
      </c>
      <c r="G20" s="257">
        <f>IF(F20=1,0,IF(F20=2,430,IF(F20=3,525)))</f>
        <v>0</v>
      </c>
      <c r="H20" s="25" t="s">
        <v>189</v>
      </c>
      <c r="I20" s="237"/>
      <c r="J20" s="662" t="str">
        <f>D21</f>
        <v>90° CORNER</v>
      </c>
      <c r="K20" s="663"/>
      <c r="L20" s="279">
        <f>IF(D26=2,H36,MAX(H34:H37))-IF(L22&gt;0,C23,0)</f>
        <v>0</v>
      </c>
      <c r="M20" s="232" t="s">
        <v>53</v>
      </c>
      <c r="N20" s="233"/>
      <c r="O20" s="232"/>
      <c r="P20" s="232"/>
      <c r="Q20" s="239"/>
      <c r="R20" s="272"/>
      <c r="S20" s="272"/>
      <c r="T20" s="233"/>
      <c r="U20" s="232"/>
      <c r="V20" s="233"/>
      <c r="W20" s="232">
        <f>IF(ISNA(C19*F13*VLOOKUP($J$19,$O$4:$V$13,7,0)),0,C19*F13*VLOOKUP($J$19,$O$4:$V$13,7,0))</f>
        <v>0</v>
      </c>
      <c r="X20" s="233"/>
      <c r="Y20" s="403"/>
      <c r="Z20" s="403"/>
      <c r="AA20" s="404"/>
      <c r="AB20" s="234"/>
    </row>
    <row r="21" spans="2:29" ht="15.75" thickBot="1" x14ac:dyDescent="0.3">
      <c r="B21" s="735" t="s">
        <v>66</v>
      </c>
      <c r="C21" s="736"/>
      <c r="D21" s="277" t="str">
        <f>IF(OR(C11=3, C11=6),D20,VLOOKUP(C11,N3:V13,4,FALSE))</f>
        <v>90° CORNER</v>
      </c>
      <c r="E21" s="237"/>
      <c r="F21" s="237"/>
      <c r="G21" s="237"/>
      <c r="H21" s="25" t="s">
        <v>190</v>
      </c>
      <c r="I21" s="237"/>
      <c r="J21" s="662" t="str">
        <f>VLOOKUP(C11,N3:V13,7,FALSE)</f>
        <v>45° CORNER</v>
      </c>
      <c r="K21" s="663"/>
      <c r="L21" s="279">
        <f>IF(D26=2,G36,MAX(G34:G37))-IF(L22&gt;0,C24,0)</f>
        <v>0</v>
      </c>
      <c r="M21" s="232" t="s">
        <v>58</v>
      </c>
      <c r="N21" s="233"/>
      <c r="O21" s="232"/>
      <c r="P21" s="232"/>
      <c r="Q21" s="239"/>
      <c r="R21" s="232"/>
      <c r="S21" s="232"/>
      <c r="T21" s="232"/>
      <c r="U21" s="232"/>
      <c r="V21" s="239"/>
      <c r="W21" s="239">
        <f>IF(ISNA(C20*F13*VLOOKUP($J$19,$O$4:$V$13,8,0)),0,C20*F13*VLOOKUP($J$19,$O$4:$V$13,8,0))</f>
        <v>0</v>
      </c>
      <c r="X21" s="239"/>
      <c r="Y21" s="232"/>
      <c r="Z21" s="232"/>
      <c r="AA21" s="234"/>
      <c r="AB21" s="234"/>
    </row>
    <row r="22" spans="2:29" ht="15.75" thickBot="1" x14ac:dyDescent="0.3">
      <c r="B22" s="439" t="s">
        <v>19</v>
      </c>
      <c r="C22" s="440">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4"/>
      <c r="AB22" s="234"/>
    </row>
    <row r="23" spans="2:29" ht="15.75" thickBot="1" x14ac:dyDescent="0.3">
      <c r="B23" s="262" t="s">
        <v>219</v>
      </c>
      <c r="C23" s="441">
        <v>0</v>
      </c>
      <c r="D23" s="13">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84"/>
      <c r="Q23" s="303"/>
      <c r="R23" s="315"/>
      <c r="S23" s="315"/>
      <c r="T23" s="234"/>
      <c r="U23" s="284"/>
      <c r="V23" s="303"/>
      <c r="W23" s="303"/>
      <c r="X23" s="303"/>
      <c r="Y23" s="284"/>
      <c r="Z23" s="284"/>
      <c r="AA23" s="234"/>
      <c r="AB23" s="234"/>
    </row>
    <row r="24" spans="2:29" ht="15.75" thickBot="1" x14ac:dyDescent="0.3">
      <c r="B24" s="325" t="s">
        <v>220</v>
      </c>
      <c r="C24" s="442">
        <v>0</v>
      </c>
      <c r="D24" s="237"/>
      <c r="E24" s="237"/>
      <c r="F24" s="737" t="str">
        <f>IF(D23=2,E34,IF(D23=3,E35,""))</f>
        <v/>
      </c>
      <c r="G24" s="737"/>
      <c r="H24" s="282"/>
      <c r="I24" s="237"/>
      <c r="J24" s="664" t="str">
        <f>IF(J11=1,"BUILDDECK",IF(J11=2,M18,IF(J11=3,M19,IF(J11&gt;=4,M20))))</f>
        <v>BUILDDECK</v>
      </c>
      <c r="K24" s="665"/>
      <c r="L24" s="283">
        <f>L13</f>
        <v>0</v>
      </c>
      <c r="M24" s="232" t="s">
        <v>55</v>
      </c>
      <c r="N24" s="233"/>
      <c r="O24" s="243"/>
      <c r="P24" s="284"/>
      <c r="Q24" s="303"/>
      <c r="R24" s="284"/>
      <c r="S24" s="284"/>
      <c r="T24" s="284"/>
      <c r="U24" s="284"/>
      <c r="V24" s="284"/>
      <c r="W24" s="284"/>
      <c r="X24" s="284"/>
      <c r="Y24" s="284"/>
      <c r="Z24" s="284"/>
      <c r="AA24" s="234"/>
      <c r="AB24" s="234"/>
    </row>
    <row r="25" spans="2:29" ht="15.75" thickBot="1" x14ac:dyDescent="0.3">
      <c r="B25" s="256" t="s">
        <v>20</v>
      </c>
      <c r="C25" s="12">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84"/>
      <c r="Q25" s="303"/>
      <c r="R25" s="284"/>
      <c r="S25" s="284"/>
      <c r="T25" s="284"/>
      <c r="U25" s="284"/>
      <c r="V25" s="284"/>
      <c r="W25" s="284"/>
      <c r="X25" s="284"/>
      <c r="Y25" s="284"/>
      <c r="Z25" s="284"/>
      <c r="AA25" s="234"/>
      <c r="AB25" s="234"/>
    </row>
    <row r="26" spans="2:29" ht="15.75" thickBot="1" x14ac:dyDescent="0.3">
      <c r="B26" s="262" t="s">
        <v>41</v>
      </c>
      <c r="C26" s="14">
        <v>0</v>
      </c>
      <c r="D26" s="215">
        <v>1</v>
      </c>
      <c r="E26" s="237"/>
      <c r="F26" s="257"/>
      <c r="G26" s="257"/>
      <c r="H26" s="282"/>
      <c r="I26" s="237"/>
      <c r="J26" s="668"/>
      <c r="K26" s="669"/>
      <c r="L26" s="279">
        <v>0</v>
      </c>
      <c r="M26" s="232"/>
      <c r="N26" s="233"/>
      <c r="O26" s="232"/>
      <c r="P26" s="284"/>
      <c r="Q26" s="303"/>
      <c r="R26" s="284"/>
      <c r="S26" s="284"/>
      <c r="T26" s="284"/>
      <c r="U26" s="284"/>
      <c r="V26" s="284"/>
      <c r="W26" s="284"/>
      <c r="X26" s="284"/>
      <c r="Y26" s="284"/>
      <c r="Z26" s="284"/>
      <c r="AA26" s="234"/>
      <c r="AB26" s="234"/>
    </row>
    <row r="27" spans="2:29" ht="15.75" thickBot="1" x14ac:dyDescent="0.3">
      <c r="B27" s="675" t="s">
        <v>65</v>
      </c>
      <c r="C27" s="676"/>
      <c r="D27" s="237"/>
      <c r="E27" s="237"/>
      <c r="F27" s="738" t="str">
        <f>IF(D26=2,E36,IF(D26=3,E37,""))</f>
        <v/>
      </c>
      <c r="G27" s="738"/>
      <c r="H27" s="282"/>
      <c r="I27" s="237"/>
      <c r="J27" s="715"/>
      <c r="K27" s="716"/>
      <c r="L27" s="279">
        <v>0</v>
      </c>
      <c r="M27" s="232"/>
      <c r="N27" s="233"/>
      <c r="O27" s="232"/>
      <c r="P27" s="284"/>
      <c r="Q27" s="303"/>
      <c r="R27" s="284"/>
      <c r="S27" s="284"/>
      <c r="T27" s="284"/>
      <c r="U27" s="284"/>
      <c r="V27" s="284"/>
      <c r="W27" s="284"/>
      <c r="X27" s="284"/>
      <c r="Y27" s="284"/>
      <c r="Z27" s="284"/>
      <c r="AA27" s="234"/>
      <c r="AB27" s="234"/>
    </row>
    <row r="28" spans="2:29" ht="15.75" thickBot="1" x14ac:dyDescent="0.3">
      <c r="B28" s="256" t="s">
        <v>18</v>
      </c>
      <c r="C28" s="12">
        <f>K66+K87</f>
        <v>0</v>
      </c>
      <c r="D28" s="257"/>
      <c r="E28" s="763" t="s">
        <v>195</v>
      </c>
      <c r="F28" s="764"/>
      <c r="G28" s="764"/>
      <c r="H28" s="765"/>
      <c r="I28" s="237"/>
      <c r="J28" s="715"/>
      <c r="K28" s="716"/>
      <c r="L28" s="279">
        <v>0</v>
      </c>
      <c r="M28" s="232"/>
      <c r="N28" s="232"/>
      <c r="O28" s="232"/>
      <c r="P28" s="284"/>
      <c r="Q28" s="284"/>
      <c r="R28" s="284"/>
      <c r="S28" s="284"/>
      <c r="T28" s="284"/>
      <c r="U28" s="284"/>
      <c r="V28" s="284"/>
      <c r="W28" s="284"/>
      <c r="X28" s="284"/>
      <c r="Y28" s="284"/>
      <c r="Z28" s="284"/>
      <c r="AA28" s="234"/>
      <c r="AB28" s="234"/>
    </row>
    <row r="29" spans="2:29" x14ac:dyDescent="0.25">
      <c r="B29" s="711" t="s">
        <v>161</v>
      </c>
      <c r="C29" s="712"/>
      <c r="D29" s="216">
        <v>0.8</v>
      </c>
      <c r="E29" s="744" t="s">
        <v>59</v>
      </c>
      <c r="F29" s="745"/>
      <c r="G29" s="217">
        <v>0</v>
      </c>
      <c r="H29" s="218" t="s">
        <v>189</v>
      </c>
      <c r="I29" s="714"/>
      <c r="J29" s="714"/>
      <c r="K29" s="241"/>
      <c r="L29" s="242"/>
      <c r="M29" s="232"/>
      <c r="N29" s="232"/>
      <c r="O29" s="232"/>
      <c r="P29" s="232"/>
      <c r="Q29" s="233"/>
      <c r="R29" s="272"/>
      <c r="S29" s="272"/>
      <c r="T29" s="232"/>
      <c r="U29" s="232"/>
      <c r="V29" s="239" t="s">
        <v>111</v>
      </c>
      <c r="W29" s="239" t="s">
        <v>112</v>
      </c>
      <c r="X29" s="239" t="s">
        <v>40</v>
      </c>
      <c r="Y29" s="239" t="s">
        <v>113</v>
      </c>
      <c r="Z29" s="284"/>
      <c r="AA29" s="234"/>
      <c r="AB29" s="234"/>
    </row>
    <row r="30" spans="2:29" ht="15.75" thickBot="1" x14ac:dyDescent="0.3">
      <c r="B30" s="684" t="s">
        <v>104</v>
      </c>
      <c r="C30" s="685"/>
      <c r="D30" s="734"/>
      <c r="E30" s="746" t="s">
        <v>192</v>
      </c>
      <c r="F30" s="747"/>
      <c r="G30" s="219">
        <f>CONVERT(G29,H29,H30)</f>
        <v>0</v>
      </c>
      <c r="H30" s="220" t="s">
        <v>190</v>
      </c>
      <c r="I30" s="713"/>
      <c r="J30" s="713"/>
      <c r="K30" s="285"/>
      <c r="L30" s="286"/>
      <c r="M30" s="232"/>
      <c r="N30" s="232"/>
      <c r="O30" s="232"/>
      <c r="P30" s="232"/>
      <c r="Q30" s="233"/>
      <c r="R30" s="272"/>
      <c r="S30" s="272"/>
      <c r="T30" s="232"/>
      <c r="U30" s="232"/>
      <c r="V30" s="239" t="s">
        <v>0</v>
      </c>
      <c r="W30" s="239">
        <f>IF($J$19=Table4[[#This Row],[Block Size]],$L$19,0)</f>
        <v>0</v>
      </c>
      <c r="X30" s="239">
        <f>W30*Y30</f>
        <v>0</v>
      </c>
      <c r="Y30" s="239">
        <v>6.5844E-2</v>
      </c>
      <c r="Z30" s="284"/>
      <c r="AA30" s="234"/>
      <c r="AB30" s="234"/>
    </row>
    <row r="31" spans="2:29" ht="15.75" thickBot="1" x14ac:dyDescent="0.3">
      <c r="B31" s="244"/>
      <c r="C31" s="245"/>
      <c r="D31" s="237"/>
      <c r="E31" s="237"/>
      <c r="F31" s="237"/>
      <c r="G31" s="282"/>
      <c r="H31" s="237"/>
      <c r="I31" s="287"/>
      <c r="J31" s="288"/>
      <c r="K31" s="723"/>
      <c r="L31" s="724"/>
      <c r="M31" s="232"/>
      <c r="N31" s="232"/>
      <c r="O31" s="232"/>
      <c r="P31" s="232"/>
      <c r="Q31" s="233"/>
      <c r="R31" s="272"/>
      <c r="S31" s="272"/>
      <c r="T31" s="232"/>
      <c r="U31" s="232"/>
      <c r="V31" s="239" t="s">
        <v>199</v>
      </c>
      <c r="W31" s="239">
        <f>IF($J$19=Table4[[#This Row],[Block Size]],$L$19,0)</f>
        <v>0</v>
      </c>
      <c r="X31" s="239">
        <f t="shared" ref="X31:X51" si="0">W31*Y31</f>
        <v>0</v>
      </c>
      <c r="Y31" s="239">
        <v>4.3906000000000001E-2</v>
      </c>
      <c r="Z31" s="284"/>
      <c r="AA31" s="234"/>
      <c r="AB31" s="234"/>
    </row>
    <row r="32" spans="2:29" ht="15.75" thickBot="1" x14ac:dyDescent="0.3">
      <c r="B32" s="732" t="s">
        <v>67</v>
      </c>
      <c r="C32" s="733"/>
      <c r="D32" s="237"/>
      <c r="E32" s="237"/>
      <c r="F32" s="237"/>
      <c r="G32" s="282"/>
      <c r="H32" s="237"/>
      <c r="I32" s="717" t="s">
        <v>87</v>
      </c>
      <c r="J32" s="718"/>
      <c r="K32" s="718"/>
      <c r="L32" s="719"/>
      <c r="M32" s="232"/>
      <c r="N32" s="232"/>
      <c r="O32" s="232"/>
      <c r="P32" s="232"/>
      <c r="Q32" s="233"/>
      <c r="R32" s="272"/>
      <c r="S32" s="272"/>
      <c r="T32" s="232"/>
      <c r="U32" s="232"/>
      <c r="V32" s="239" t="s">
        <v>200</v>
      </c>
      <c r="W32" s="239">
        <f>IF($J$19=Table4[[#This Row],[Block Size]],$L$19,0)</f>
        <v>0</v>
      </c>
      <c r="X32" s="239">
        <f t="shared" si="0"/>
        <v>0</v>
      </c>
      <c r="Y32" s="239">
        <v>6.5844E-2</v>
      </c>
      <c r="Z32" s="284"/>
      <c r="AA32" s="234"/>
      <c r="AB32" s="234"/>
    </row>
    <row r="33" spans="1:28" ht="15.75" thickBot="1" x14ac:dyDescent="0.3">
      <c r="B33" s="700" t="s">
        <v>40</v>
      </c>
      <c r="C33" s="701"/>
      <c r="D33" s="705">
        <f>ROUNDUP(Table4[[#Totals],[Concrete Volume]],0)</f>
        <v>0</v>
      </c>
      <c r="E33" s="706"/>
      <c r="F33" s="707"/>
      <c r="G33" s="289"/>
      <c r="H33" s="245"/>
      <c r="I33" s="720"/>
      <c r="J33" s="721"/>
      <c r="K33" s="721"/>
      <c r="L33" s="722"/>
      <c r="M33" s="232"/>
      <c r="N33" s="232"/>
      <c r="O33" s="232"/>
      <c r="P33" s="232"/>
      <c r="Q33" s="233"/>
      <c r="R33" s="272"/>
      <c r="S33" s="272"/>
      <c r="T33" s="232"/>
      <c r="U33" s="232"/>
      <c r="V33" s="239" t="s">
        <v>1</v>
      </c>
      <c r="W33" s="239">
        <f>IF($J$19=Table4[[#This Row],[Block Size]],$L$19,0)</f>
        <v>0</v>
      </c>
      <c r="X33" s="239">
        <f t="shared" si="0"/>
        <v>0</v>
      </c>
      <c r="Y33" s="239">
        <v>9.8765000000000006E-2</v>
      </c>
      <c r="Z33" s="284"/>
      <c r="AA33" s="234"/>
      <c r="AB33" s="234"/>
    </row>
    <row r="34" spans="1:28" x14ac:dyDescent="0.25">
      <c r="A34" s="233"/>
      <c r="B34" s="239"/>
      <c r="C34" s="303"/>
      <c r="D34" s="239"/>
      <c r="E34" s="239" t="s">
        <v>89</v>
      </c>
      <c r="F34" s="239"/>
      <c r="G34" s="233">
        <f>ROUNDUP(IF(OR(J19="BL1000",J19="BL1200"),0,((C19+C20)*F13)),0)</f>
        <v>0</v>
      </c>
      <c r="H34" s="239">
        <f>ROUNDUP((C17+C18)*F13,0)</f>
        <v>0</v>
      </c>
      <c r="I34" s="239">
        <f>ROUNDUP(C22/4+C23,0)</f>
        <v>0</v>
      </c>
      <c r="J34" s="303"/>
      <c r="K34" s="239" t="s">
        <v>122</v>
      </c>
      <c r="L34" s="239"/>
      <c r="M34" s="232"/>
      <c r="N34" s="232"/>
      <c r="O34" s="232"/>
      <c r="P34" s="232"/>
      <c r="Q34" s="233"/>
      <c r="R34" s="272"/>
      <c r="S34" s="272"/>
      <c r="T34" s="232"/>
      <c r="U34" s="232"/>
      <c r="V34" s="239" t="s">
        <v>201</v>
      </c>
      <c r="W34" s="239">
        <f>IF($J$19=Table4[[#This Row],[Block Size]],$L$19,0)</f>
        <v>0</v>
      </c>
      <c r="X34" s="239">
        <f t="shared" si="0"/>
        <v>0</v>
      </c>
      <c r="Y34" s="239">
        <v>6.2947000000000003E-2</v>
      </c>
      <c r="Z34" s="284"/>
      <c r="AA34" s="234"/>
      <c r="AB34" s="234"/>
    </row>
    <row r="35" spans="1:28" x14ac:dyDescent="0.25">
      <c r="A35" s="233"/>
      <c r="B35" s="239"/>
      <c r="C35" s="303"/>
      <c r="D35" s="239"/>
      <c r="E35" s="239" t="s">
        <v>92</v>
      </c>
      <c r="F35" s="239"/>
      <c r="G35" s="233">
        <f>ROUNDUP(IF(OR(J19="BL1000",J19="BL1200"),0,((C19+C20)*F13)),0)</f>
        <v>0</v>
      </c>
      <c r="H35" s="239">
        <f>ROUNDUP((C17+C18)*F13,0)</f>
        <v>0</v>
      </c>
      <c r="I35" s="239">
        <f>ROUNDUP(IF(AND(OR(J22="BB6BL",J22="BB8BL")),C22/4,0),0)</f>
        <v>0</v>
      </c>
      <c r="J35" s="303"/>
      <c r="K35" s="239" t="s">
        <v>123</v>
      </c>
      <c r="L35" s="239"/>
      <c r="M35" s="232"/>
      <c r="N35" s="232"/>
      <c r="O35" s="232"/>
      <c r="P35" s="232"/>
      <c r="Q35" s="232"/>
      <c r="R35" s="232"/>
      <c r="S35" s="232"/>
      <c r="T35" s="232"/>
      <c r="U35" s="233"/>
      <c r="V35" s="239" t="s">
        <v>202</v>
      </c>
      <c r="W35" s="239">
        <f>IF($J$19=Table4[[#This Row],[Block Size]],$L$19,0)</f>
        <v>0</v>
      </c>
      <c r="X35" s="239">
        <f t="shared" si="0"/>
        <v>0</v>
      </c>
      <c r="Y35" s="239">
        <v>9.8765000000000006E-2</v>
      </c>
      <c r="Z35" s="284"/>
      <c r="AA35" s="234"/>
      <c r="AB35" s="234"/>
    </row>
    <row r="36" spans="1:28" x14ac:dyDescent="0.25">
      <c r="A36" s="233"/>
      <c r="B36" s="239"/>
      <c r="C36" s="303"/>
      <c r="D36" s="239"/>
      <c r="E36" s="239" t="s">
        <v>90</v>
      </c>
      <c r="F36" s="239"/>
      <c r="G36" s="233">
        <f>ROUNDUP(IF(OR(J19="BL1000",J19="BL1200"),0,((C19+C20)*F13))-(C19+C20),0)</f>
        <v>0</v>
      </c>
      <c r="H36" s="239">
        <f>ROUNDUP(((C17+C18)*F13)-(C17+C18),0)</f>
        <v>0</v>
      </c>
      <c r="I36" s="239">
        <f>ROUNDUP(C25/4+C26,0)</f>
        <v>0</v>
      </c>
      <c r="J36" s="303"/>
      <c r="K36" s="239" t="s">
        <v>124</v>
      </c>
      <c r="L36" s="239"/>
      <c r="M36" s="232"/>
      <c r="N36" s="232"/>
      <c r="O36" s="232"/>
      <c r="P36" s="232"/>
      <c r="Q36" s="232"/>
      <c r="R36" s="232"/>
      <c r="S36" s="232"/>
      <c r="T36" s="232"/>
      <c r="U36" s="233"/>
      <c r="V36" s="239" t="s">
        <v>2</v>
      </c>
      <c r="W36" s="239">
        <f>IF($J$19=Table4[[#This Row],[Block Size]],$L$19,0)</f>
        <v>0</v>
      </c>
      <c r="X36" s="239">
        <f t="shared" si="0"/>
        <v>0</v>
      </c>
      <c r="Y36" s="239">
        <v>0.131687</v>
      </c>
      <c r="Z36" s="284"/>
      <c r="AA36" s="234"/>
      <c r="AB36" s="234"/>
    </row>
    <row r="37" spans="1:28" ht="15.75" thickBot="1" x14ac:dyDescent="0.3">
      <c r="A37" s="233"/>
      <c r="B37" s="239"/>
      <c r="C37" s="303"/>
      <c r="D37" s="239"/>
      <c r="E37" s="239" t="s">
        <v>102</v>
      </c>
      <c r="F37" s="239"/>
      <c r="G37" s="233">
        <f>ROUNDUP(IF(OR(J19="BL1000",J19="BL1200"),0,((C19+C20)*F13)),0)</f>
        <v>0</v>
      </c>
      <c r="H37" s="239">
        <f>ROUNDUP((C17+C18)*F13,0)</f>
        <v>0</v>
      </c>
      <c r="I37" s="239">
        <f>ROUNDUP(IF(AND(OR(J23="BB6DT",J23="BB8DT")),(C25-C26*4)/4,0),0)</f>
        <v>0</v>
      </c>
      <c r="J37" s="303"/>
      <c r="K37" s="239"/>
      <c r="L37" s="239"/>
      <c r="M37" s="232"/>
      <c r="N37" s="232"/>
      <c r="O37" s="232"/>
      <c r="P37" s="232"/>
      <c r="Q37" s="232"/>
      <c r="R37" s="232"/>
      <c r="S37" s="232"/>
      <c r="T37" s="232"/>
      <c r="U37" s="233"/>
      <c r="V37" s="239" t="s">
        <v>203</v>
      </c>
      <c r="W37" s="239">
        <f>IF($J$19=Table4[[#This Row],[Block Size]],$L$19,0)</f>
        <v>0</v>
      </c>
      <c r="X37" s="239">
        <f t="shared" si="0"/>
        <v>0</v>
      </c>
      <c r="Y37" s="239">
        <v>0.131687</v>
      </c>
      <c r="Z37" s="284"/>
      <c r="AA37" s="234"/>
      <c r="AB37" s="234"/>
    </row>
    <row r="38" spans="1:28"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IF($J$19=Table4[[#This Row],[Block Size]],$L$19,0)</f>
        <v>0</v>
      </c>
      <c r="X38" s="239">
        <f t="shared" si="0"/>
        <v>0</v>
      </c>
      <c r="Y38" s="239">
        <v>0.16460900000000001</v>
      </c>
      <c r="Z38" s="284"/>
      <c r="AA38" s="234"/>
      <c r="AB38" s="234"/>
    </row>
    <row r="39" spans="1:28"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IF($J$19=Table4[[#This Row],[Block Size]],$L$19,0)</f>
        <v>0</v>
      </c>
      <c r="X39" s="239">
        <f t="shared" si="0"/>
        <v>0</v>
      </c>
      <c r="Y39" s="239">
        <v>0.19752900000000001</v>
      </c>
      <c r="Z39" s="284"/>
      <c r="AA39" s="234"/>
      <c r="AB39" s="234"/>
    </row>
    <row r="40" spans="1:28" ht="15.75" thickBot="1" x14ac:dyDescent="0.3">
      <c r="A40" s="233"/>
      <c r="B40" s="118"/>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IF($J$20=Table4[[#This Row],[Block Size]],$L$20,0)</f>
        <v>0</v>
      </c>
      <c r="X40" s="239">
        <f t="shared" si="0"/>
        <v>0</v>
      </c>
      <c r="Y40" s="239">
        <v>5.4573999999999998E-2</v>
      </c>
      <c r="Z40" s="284"/>
      <c r="AA40" s="234"/>
      <c r="AB40" s="234"/>
    </row>
    <row r="41" spans="1:28"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IF($J$20=Table4[[#This Row],[Block Size]],$L$20,0)</f>
        <v>0</v>
      </c>
      <c r="X41" s="239">
        <f t="shared" si="0"/>
        <v>0</v>
      </c>
      <c r="Y41" s="239">
        <v>8.6527999999999994E-2</v>
      </c>
      <c r="Z41" s="284"/>
      <c r="AA41" s="234"/>
      <c r="AB41" s="234"/>
    </row>
    <row r="42" spans="1:28"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IF($J$20=Table4[[#This Row],[Block Size]],$L$20,0)</f>
        <v>0</v>
      </c>
      <c r="X42" s="239">
        <f t="shared" si="0"/>
        <v>0</v>
      </c>
      <c r="Y42" s="239">
        <v>0.121517</v>
      </c>
      <c r="Z42" s="284"/>
      <c r="AA42" s="234"/>
      <c r="AB42" s="234"/>
    </row>
    <row r="43" spans="1:28"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IF($J$20=Table4[[#This Row],[Block Size]],$L$20,0)</f>
        <v>0</v>
      </c>
      <c r="X43" s="239">
        <f t="shared" si="0"/>
        <v>0</v>
      </c>
      <c r="Y43" s="239">
        <v>0.151444</v>
      </c>
      <c r="Z43" s="284"/>
      <c r="AA43" s="234"/>
      <c r="AB43" s="234"/>
    </row>
    <row r="44" spans="1:28"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IF($J$20=Table4[[#This Row],[Block Size]],$L$20,0)</f>
        <v>0</v>
      </c>
      <c r="X44" s="239">
        <f t="shared" si="0"/>
        <v>0</v>
      </c>
      <c r="Y44" s="239">
        <v>0.19140799999999999</v>
      </c>
      <c r="Z44" s="284"/>
      <c r="AA44" s="234"/>
      <c r="AB44" s="234"/>
    </row>
    <row r="45" spans="1:28"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IF($J$21=Table4[[#This Row],[Block Size]],$L$21,0)</f>
        <v>0</v>
      </c>
      <c r="X45" s="239">
        <f t="shared" si="0"/>
        <v>0</v>
      </c>
      <c r="Y45" s="239">
        <v>5.4984999999999999E-2</v>
      </c>
      <c r="Z45" s="284"/>
      <c r="AA45" s="284"/>
      <c r="AB45" s="284"/>
    </row>
    <row r="46" spans="1:28"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IF($J$21=Table4[[#This Row],[Block Size]],$L$21,0)</f>
        <v>0</v>
      </c>
      <c r="X46" s="239">
        <f t="shared" si="0"/>
        <v>0</v>
      </c>
      <c r="Y46" s="239">
        <v>8.0840999999999996E-2</v>
      </c>
      <c r="Z46" s="284"/>
      <c r="AA46" s="234"/>
      <c r="AB46" s="234"/>
    </row>
    <row r="47" spans="1:28"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IF($J$21=Table4[[#This Row],[Block Size]],$L$21,0)</f>
        <v>0</v>
      </c>
      <c r="X47" s="239">
        <f t="shared" si="0"/>
        <v>0</v>
      </c>
      <c r="Y47" s="239">
        <v>0.105425</v>
      </c>
      <c r="Z47" s="284"/>
      <c r="AA47" s="234"/>
      <c r="AB47" s="234"/>
    </row>
    <row r="48" spans="1:28"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IF($J$22=Table4[[#This Row],[Block Size]],$L$22,0)</f>
        <v>0</v>
      </c>
      <c r="X48" s="239">
        <f t="shared" si="0"/>
        <v>0</v>
      </c>
      <c r="Y48" s="239">
        <v>0.13414799999999999</v>
      </c>
      <c r="Z48" s="284"/>
      <c r="AA48" s="234"/>
      <c r="AB48" s="234"/>
    </row>
    <row r="49" spans="1:29"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IF($J$22=Table4[[#This Row],[Block Size]],$L$22,0)</f>
        <v>0</v>
      </c>
      <c r="X49" s="239">
        <f t="shared" si="0"/>
        <v>0</v>
      </c>
      <c r="Y49" s="239">
        <v>0.167074</v>
      </c>
      <c r="Z49" s="284"/>
      <c r="AA49" s="284"/>
      <c r="AB49" s="284"/>
    </row>
    <row r="50" spans="1:29"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IF($J$23=Table4[[#This Row],[Block Size]],$L$23,0)</f>
        <v>0</v>
      </c>
      <c r="X50" s="239">
        <f t="shared" si="0"/>
        <v>0</v>
      </c>
      <c r="Y50" s="239">
        <v>0.13012799999999999</v>
      </c>
      <c r="Z50" s="284"/>
      <c r="AA50" s="284"/>
      <c r="AB50" s="284"/>
    </row>
    <row r="51" spans="1:29"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IF($J$23=Table4[[#This Row],[Block Size]],$L$23,0)</f>
        <v>0</v>
      </c>
      <c r="X51" s="239">
        <f t="shared" si="0"/>
        <v>0</v>
      </c>
      <c r="Y51" s="239">
        <v>0.16305</v>
      </c>
      <c r="Z51" s="284"/>
      <c r="AA51" s="284"/>
      <c r="AB51" s="284"/>
    </row>
    <row r="52" spans="1:29"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IF($J$20=Table4[[#This Row],[Block Size]],$L$20,0)</f>
        <v>0</v>
      </c>
      <c r="X52" s="233">
        <f>W52*Y52</f>
        <v>0</v>
      </c>
      <c r="Y52" s="233">
        <v>5.0831000000000001E-2</v>
      </c>
      <c r="Z52" s="284"/>
      <c r="AA52" s="284"/>
      <c r="AB52" s="284"/>
    </row>
    <row r="53" spans="1:29"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IF($J$20=Table4[[#This Row],[Block Size]],$L$20,0)</f>
        <v>0</v>
      </c>
      <c r="X53" s="233">
        <f>W53*Y53</f>
        <v>0</v>
      </c>
      <c r="Y53" s="233">
        <v>8.4626000000000007E-2</v>
      </c>
      <c r="Z53" s="284"/>
      <c r="AA53" s="234"/>
      <c r="AB53" s="234"/>
    </row>
    <row r="54" spans="1:29"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W54*Y54</f>
        <v>0</v>
      </c>
      <c r="Y54" s="233"/>
      <c r="Z54" s="284"/>
      <c r="AA54" s="234"/>
      <c r="AB54" s="234"/>
    </row>
    <row r="55" spans="1:29"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W55*Y55</f>
        <v>0</v>
      </c>
      <c r="Y55" s="233"/>
      <c r="Z55" s="284"/>
      <c r="AA55" s="234"/>
      <c r="AB55" s="234"/>
    </row>
    <row r="56" spans="1:29"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SUM(Table4[Concrete Volume])</f>
        <v>0</v>
      </c>
      <c r="Y56" s="233"/>
      <c r="Z56" s="234"/>
      <c r="AA56" s="234"/>
      <c r="AB56" s="234"/>
    </row>
    <row r="57" spans="1:29"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3"/>
      <c r="W57" s="233"/>
      <c r="X57" s="233"/>
      <c r="Y57" s="233"/>
      <c r="Z57" s="233"/>
      <c r="AA57" s="234"/>
      <c r="AB57" s="234"/>
    </row>
    <row r="58" spans="1:29"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4"/>
      <c r="AB58" s="234"/>
    </row>
    <row r="59" spans="1:29"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303"/>
      <c r="AB59" s="303"/>
      <c r="AC59" s="304"/>
    </row>
    <row r="60" spans="1:29"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404"/>
      <c r="O60" s="69" t="s">
        <v>156</v>
      </c>
      <c r="P60" s="232"/>
      <c r="Q60" s="232"/>
      <c r="R60" s="232"/>
      <c r="S60" s="233">
        <v>2</v>
      </c>
      <c r="T60" s="233">
        <v>3</v>
      </c>
      <c r="U60" s="232">
        <v>4</v>
      </c>
      <c r="V60" s="232">
        <v>5</v>
      </c>
      <c r="W60" s="233"/>
      <c r="X60" s="239"/>
      <c r="Y60" s="239"/>
      <c r="Z60" s="239"/>
      <c r="AA60" s="303"/>
      <c r="AB60" s="303"/>
      <c r="AC60" s="304"/>
    </row>
    <row r="61" spans="1:29"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404"/>
      <c r="O61" s="69" t="s">
        <v>51</v>
      </c>
      <c r="P61" s="232"/>
      <c r="Q61" s="232"/>
      <c r="R61" s="232">
        <v>2</v>
      </c>
      <c r="S61" s="239">
        <f>ROUNDUP($L$13*0.05111111,1)</f>
        <v>0</v>
      </c>
      <c r="T61" s="239">
        <f>ROUNDUP($L$13*0.0633333,1)</f>
        <v>0</v>
      </c>
      <c r="U61" s="239">
        <f>ROUNDUP($L$13*0.08777,1)</f>
        <v>0</v>
      </c>
      <c r="V61" s="239">
        <f>ROUNDUP($L$13*0.11221,1)</f>
        <v>0</v>
      </c>
      <c r="W61" s="272"/>
      <c r="X61" s="239"/>
      <c r="Y61" s="239"/>
      <c r="Z61" s="239"/>
      <c r="AA61" s="303"/>
      <c r="AB61" s="303"/>
      <c r="AC61" s="304"/>
    </row>
    <row r="62" spans="1:29"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404"/>
      <c r="O62" s="69" t="s">
        <v>52</v>
      </c>
      <c r="P62" s="232"/>
      <c r="Q62" s="232"/>
      <c r="R62" s="232">
        <v>3</v>
      </c>
      <c r="S62" s="239">
        <f>ROUNDUP($L$13*0.05851852,1)</f>
        <v>0</v>
      </c>
      <c r="T62" s="239">
        <f>ROUNDUP($L$13*0.07074,1)</f>
        <v>0</v>
      </c>
      <c r="U62" s="239">
        <f>ROUNDUP($L$13*0.09518,1)</f>
        <v>0</v>
      </c>
      <c r="V62" s="239">
        <f>ROUNDUP($L$13*0.11962,1)</f>
        <v>0</v>
      </c>
      <c r="W62" s="233"/>
      <c r="X62" s="239"/>
      <c r="Y62" s="239"/>
      <c r="Z62" s="239"/>
      <c r="AA62" s="303"/>
      <c r="AB62" s="303"/>
      <c r="AC62" s="304"/>
    </row>
    <row r="63" spans="1:29"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404"/>
      <c r="O63" s="69" t="s">
        <v>53</v>
      </c>
      <c r="P63" s="232"/>
      <c r="Q63" s="232"/>
      <c r="R63" s="232">
        <v>4</v>
      </c>
      <c r="S63" s="239">
        <f>ROUNDUP($L$13*0.06037037,1)</f>
        <v>0</v>
      </c>
      <c r="T63" s="239">
        <f>ROUNDUP($L$13*0.07259,1)</f>
        <v>0</v>
      </c>
      <c r="U63" s="239">
        <f>ROUNDUP($L$13*0.09703,1)</f>
        <v>0</v>
      </c>
      <c r="V63" s="239">
        <f>ROUNDUP($L$13*0.12147,1)</f>
        <v>0</v>
      </c>
      <c r="W63" s="233"/>
      <c r="X63" s="239"/>
      <c r="Y63" s="239"/>
      <c r="Z63" s="239"/>
      <c r="AA63" s="303"/>
      <c r="AB63" s="303"/>
      <c r="AC63" s="304"/>
    </row>
    <row r="64" spans="1:29"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404"/>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303"/>
      <c r="AB64" s="303"/>
      <c r="AC64" s="304"/>
    </row>
    <row r="65" spans="1:29"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303"/>
      <c r="AB65" s="303"/>
      <c r="AC65" s="304"/>
    </row>
    <row r="66" spans="1:29" ht="15.75" thickBot="1" x14ac:dyDescent="0.3">
      <c r="A66" s="233">
        <f>SUM(A41:A65)</f>
        <v>0</v>
      </c>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303"/>
      <c r="AB66" s="303"/>
      <c r="AC66" s="304"/>
    </row>
    <row r="67" spans="1:29"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303"/>
      <c r="AB67" s="303"/>
      <c r="AC67" s="304"/>
    </row>
    <row r="68" spans="1:29"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303"/>
      <c r="AB68" s="303"/>
      <c r="AC68" s="304"/>
    </row>
    <row r="69" spans="1:29" ht="16.5" thickBot="1" x14ac:dyDescent="0.3">
      <c r="A69" s="233"/>
      <c r="B69" s="233"/>
      <c r="C69" s="702" t="s">
        <v>95</v>
      </c>
      <c r="D69" s="708"/>
      <c r="E69" s="708"/>
      <c r="F69" s="708"/>
      <c r="G69" s="708"/>
      <c r="H69" s="709"/>
      <c r="I69" s="709"/>
      <c r="J69" s="709"/>
      <c r="K69" s="710"/>
      <c r="L69" s="290"/>
      <c r="M69" s="233"/>
      <c r="N69" s="233"/>
      <c r="O69" s="290"/>
      <c r="P69" s="233"/>
      <c r="Q69" s="233"/>
      <c r="R69" s="232" t="s">
        <v>70</v>
      </c>
      <c r="S69" s="233"/>
      <c r="T69" s="233"/>
      <c r="U69" s="272"/>
      <c r="V69" s="233"/>
      <c r="W69" s="233"/>
      <c r="X69" s="239"/>
      <c r="Y69" s="239"/>
      <c r="Z69" s="239"/>
      <c r="AA69" s="303"/>
      <c r="AB69" s="303"/>
      <c r="AC69" s="304"/>
    </row>
    <row r="70" spans="1:29"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303"/>
      <c r="AB70" s="303"/>
      <c r="AC70" s="304"/>
    </row>
    <row r="71" spans="1:29"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303"/>
      <c r="AB71" s="303"/>
      <c r="AC71" s="304"/>
    </row>
    <row r="72" spans="1:29" ht="15.75" thickBot="1" x14ac:dyDescent="0.3">
      <c r="A72" s="233">
        <f t="shared" ref="A72:A86" si="7">B72*H72</f>
        <v>0</v>
      </c>
      <c r="B72" s="118">
        <f>IF(C72+(D72/12)&gt;0,ROUNDUP((C72+(D72/12)+3),1),0)</f>
        <v>0</v>
      </c>
      <c r="C72" s="17">
        <v>0</v>
      </c>
      <c r="D72" s="18">
        <v>0</v>
      </c>
      <c r="E72" s="295" t="s">
        <v>10</v>
      </c>
      <c r="F72" s="18">
        <v>0</v>
      </c>
      <c r="G72" s="18">
        <v>0</v>
      </c>
      <c r="H72" s="18">
        <v>0</v>
      </c>
      <c r="I72" s="296">
        <f t="shared" ref="I72:I81" si="8">ROUNDDOWN(((C72*12)+D72)*((F72*12)+G72)/144, 1)</f>
        <v>0</v>
      </c>
      <c r="J72" s="296">
        <f>ROUNDDOWN(((((C72*12+D72)/12)+((F72*12+G72)/12)*2)*H72),0)</f>
        <v>0</v>
      </c>
      <c r="K72" s="297">
        <f t="shared" ref="K72:K81"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303"/>
      <c r="AB72" s="303"/>
      <c r="AC72" s="304"/>
    </row>
    <row r="73" spans="1:29" ht="15.75" thickBot="1" x14ac:dyDescent="0.3">
      <c r="A73" s="233">
        <f t="shared" si="7"/>
        <v>0</v>
      </c>
      <c r="B73" s="118">
        <f t="shared" ref="B73:B86" si="11">IF(C73+(D73/12)&gt;0,ROUNDUP((C73+(D73/12)+3),1),0)</f>
        <v>0</v>
      </c>
      <c r="C73" s="17">
        <v>0</v>
      </c>
      <c r="D73" s="18">
        <v>0</v>
      </c>
      <c r="E73" s="298" t="s">
        <v>10</v>
      </c>
      <c r="F73" s="18">
        <v>0</v>
      </c>
      <c r="G73" s="18">
        <v>0</v>
      </c>
      <c r="H73" s="18">
        <v>0</v>
      </c>
      <c r="I73" s="299">
        <f t="shared" si="8"/>
        <v>0</v>
      </c>
      <c r="J73" s="299">
        <f t="shared" ref="J73:J85" si="12">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4"/>
      <c r="AB73" s="234"/>
    </row>
    <row r="74" spans="1:29" ht="15.75" thickBot="1" x14ac:dyDescent="0.3">
      <c r="A74" s="233">
        <f t="shared" si="7"/>
        <v>0</v>
      </c>
      <c r="B74" s="118">
        <f t="shared" si="11"/>
        <v>0</v>
      </c>
      <c r="C74" s="17">
        <v>0</v>
      </c>
      <c r="D74" s="18">
        <v>0</v>
      </c>
      <c r="E74" s="298" t="s">
        <v>10</v>
      </c>
      <c r="F74" s="18">
        <v>0</v>
      </c>
      <c r="G74" s="18">
        <v>0</v>
      </c>
      <c r="H74" s="18">
        <v>0</v>
      </c>
      <c r="I74" s="299">
        <f t="shared" si="8"/>
        <v>0</v>
      </c>
      <c r="J74" s="299">
        <f t="shared" si="12"/>
        <v>0</v>
      </c>
      <c r="K74" s="300">
        <f t="shared" si="9"/>
        <v>0</v>
      </c>
      <c r="L74" s="290" t="str">
        <f t="shared" si="10"/>
        <v>0
0
0
0</v>
      </c>
      <c r="M74" s="233"/>
      <c r="N74" s="233"/>
      <c r="O74" s="272"/>
      <c r="P74" s="233"/>
      <c r="Q74" s="233"/>
      <c r="R74" s="272"/>
      <c r="S74" s="272"/>
      <c r="T74" s="233"/>
      <c r="U74" s="233"/>
      <c r="V74" s="272"/>
      <c r="W74" s="233"/>
      <c r="X74" s="233"/>
      <c r="Y74" s="233"/>
      <c r="Z74" s="233"/>
      <c r="AA74" s="234"/>
      <c r="AB74" s="234"/>
    </row>
    <row r="75" spans="1:29" ht="15.75" thickBot="1" x14ac:dyDescent="0.3">
      <c r="A75" s="233">
        <f t="shared" si="7"/>
        <v>0</v>
      </c>
      <c r="B75" s="118">
        <f t="shared" si="11"/>
        <v>0</v>
      </c>
      <c r="C75" s="17">
        <v>0</v>
      </c>
      <c r="D75" s="18">
        <v>0</v>
      </c>
      <c r="E75" s="298" t="s">
        <v>10</v>
      </c>
      <c r="F75" s="18">
        <v>0</v>
      </c>
      <c r="G75" s="18">
        <v>0</v>
      </c>
      <c r="H75" s="18">
        <v>0</v>
      </c>
      <c r="I75" s="299">
        <f t="shared" si="8"/>
        <v>0</v>
      </c>
      <c r="J75" s="299">
        <f t="shared" si="12"/>
        <v>0</v>
      </c>
      <c r="K75" s="300">
        <f t="shared" si="9"/>
        <v>0</v>
      </c>
      <c r="L75" s="290" t="str">
        <f t="shared" si="10"/>
        <v>0
0
0
0</v>
      </c>
      <c r="M75" s="233"/>
      <c r="N75" s="233"/>
      <c r="O75" s="272"/>
      <c r="P75" s="233"/>
      <c r="Q75" s="233"/>
      <c r="R75" s="272"/>
      <c r="S75" s="272"/>
      <c r="T75" s="233"/>
      <c r="U75" s="233"/>
      <c r="V75" s="272"/>
      <c r="W75" s="233"/>
      <c r="X75" s="233"/>
      <c r="Y75" s="233"/>
      <c r="Z75" s="233"/>
      <c r="AA75" s="234"/>
      <c r="AB75" s="234"/>
    </row>
    <row r="76" spans="1:29" ht="15.75" thickBot="1" x14ac:dyDescent="0.3">
      <c r="A76" s="233">
        <f t="shared" si="7"/>
        <v>0</v>
      </c>
      <c r="B76" s="118">
        <f t="shared" si="11"/>
        <v>0</v>
      </c>
      <c r="C76" s="17">
        <v>0</v>
      </c>
      <c r="D76" s="18">
        <v>0</v>
      </c>
      <c r="E76" s="298" t="s">
        <v>10</v>
      </c>
      <c r="F76" s="18">
        <v>0</v>
      </c>
      <c r="G76" s="18">
        <v>0</v>
      </c>
      <c r="H76" s="18">
        <v>0</v>
      </c>
      <c r="I76" s="299">
        <f t="shared" si="8"/>
        <v>0</v>
      </c>
      <c r="J76" s="299">
        <f t="shared" si="12"/>
        <v>0</v>
      </c>
      <c r="K76" s="300">
        <f t="shared" si="9"/>
        <v>0</v>
      </c>
      <c r="L76" s="290" t="str">
        <f t="shared" si="10"/>
        <v>0
0
0
0</v>
      </c>
      <c r="M76" s="233"/>
      <c r="N76" s="233"/>
      <c r="O76" s="272"/>
      <c r="P76" s="233"/>
      <c r="Q76" s="233"/>
      <c r="R76" s="272"/>
      <c r="S76" s="272"/>
      <c r="T76" s="233"/>
      <c r="U76" s="233"/>
      <c r="V76" s="272"/>
      <c r="W76" s="233"/>
      <c r="X76" s="233"/>
      <c r="Y76" s="233"/>
      <c r="Z76" s="233"/>
      <c r="AA76" s="234"/>
      <c r="AB76" s="234"/>
    </row>
    <row r="77" spans="1:29" ht="15.75" thickBot="1" x14ac:dyDescent="0.3">
      <c r="A77" s="233">
        <f t="shared" si="7"/>
        <v>0</v>
      </c>
      <c r="B77" s="118">
        <f t="shared" si="11"/>
        <v>0</v>
      </c>
      <c r="C77" s="17">
        <v>0</v>
      </c>
      <c r="D77" s="18">
        <v>0</v>
      </c>
      <c r="E77" s="298" t="s">
        <v>10</v>
      </c>
      <c r="F77" s="18">
        <v>0</v>
      </c>
      <c r="G77" s="18">
        <v>0</v>
      </c>
      <c r="H77" s="18">
        <v>0</v>
      </c>
      <c r="I77" s="299">
        <f t="shared" si="8"/>
        <v>0</v>
      </c>
      <c r="J77" s="299">
        <f t="shared" si="12"/>
        <v>0</v>
      </c>
      <c r="K77" s="300">
        <f t="shared" si="9"/>
        <v>0</v>
      </c>
      <c r="L77" s="290" t="str">
        <f t="shared" si="10"/>
        <v>0
0
0
0</v>
      </c>
      <c r="M77" s="233"/>
      <c r="N77" s="233"/>
      <c r="O77" s="272"/>
      <c r="P77" s="233"/>
      <c r="Q77" s="233"/>
      <c r="R77" s="272"/>
      <c r="S77" s="272"/>
      <c r="T77" s="233"/>
      <c r="U77" s="233"/>
      <c r="V77" s="272"/>
      <c r="W77" s="233"/>
      <c r="X77" s="233"/>
      <c r="Y77" s="233"/>
      <c r="Z77" s="233"/>
      <c r="AA77" s="234"/>
      <c r="AB77" s="234"/>
    </row>
    <row r="78" spans="1:29" ht="15.75" thickBot="1" x14ac:dyDescent="0.3">
      <c r="A78" s="233">
        <f t="shared" si="7"/>
        <v>0</v>
      </c>
      <c r="B78" s="118">
        <f t="shared" si="11"/>
        <v>0</v>
      </c>
      <c r="C78" s="17">
        <v>0</v>
      </c>
      <c r="D78" s="18">
        <v>0</v>
      </c>
      <c r="E78" s="298" t="s">
        <v>10</v>
      </c>
      <c r="F78" s="18">
        <v>0</v>
      </c>
      <c r="G78" s="18">
        <v>0</v>
      </c>
      <c r="H78" s="18">
        <v>0</v>
      </c>
      <c r="I78" s="299">
        <f t="shared" si="8"/>
        <v>0</v>
      </c>
      <c r="J78" s="299">
        <f t="shared" si="12"/>
        <v>0</v>
      </c>
      <c r="K78" s="300">
        <f t="shared" si="9"/>
        <v>0</v>
      </c>
      <c r="L78" s="290" t="str">
        <f t="shared" si="10"/>
        <v>0
0
0
0</v>
      </c>
      <c r="M78" s="233"/>
      <c r="N78" s="233"/>
      <c r="O78" s="272"/>
      <c r="P78" s="233"/>
      <c r="Q78" s="233"/>
      <c r="R78" s="272"/>
      <c r="S78" s="272"/>
      <c r="T78" s="233"/>
      <c r="U78" s="233"/>
      <c r="V78" s="233"/>
      <c r="W78" s="233"/>
      <c r="X78" s="233"/>
      <c r="Y78" s="233"/>
      <c r="Z78" s="233"/>
      <c r="AA78" s="234"/>
      <c r="AB78" s="234"/>
    </row>
    <row r="79" spans="1:29" ht="15.75" thickBot="1" x14ac:dyDescent="0.3">
      <c r="A79" s="233">
        <f t="shared" si="7"/>
        <v>0</v>
      </c>
      <c r="B79" s="118">
        <f t="shared" si="11"/>
        <v>0</v>
      </c>
      <c r="C79" s="17">
        <v>0</v>
      </c>
      <c r="D79" s="18">
        <v>0</v>
      </c>
      <c r="E79" s="298" t="s">
        <v>10</v>
      </c>
      <c r="F79" s="18">
        <v>0</v>
      </c>
      <c r="G79" s="18">
        <v>0</v>
      </c>
      <c r="H79" s="18">
        <v>0</v>
      </c>
      <c r="I79" s="299">
        <f t="shared" si="8"/>
        <v>0</v>
      </c>
      <c r="J79" s="299">
        <f t="shared" si="12"/>
        <v>0</v>
      </c>
      <c r="K79" s="300">
        <f t="shared" si="9"/>
        <v>0</v>
      </c>
      <c r="L79" s="290" t="str">
        <f t="shared" si="10"/>
        <v>0
0
0
0</v>
      </c>
      <c r="M79" s="233"/>
      <c r="N79" s="233"/>
      <c r="O79" s="272"/>
      <c r="P79" s="233"/>
      <c r="Q79" s="233"/>
      <c r="R79" s="272"/>
      <c r="S79" s="272"/>
      <c r="T79" s="233"/>
      <c r="U79" s="233"/>
      <c r="V79" s="233"/>
      <c r="W79" s="233"/>
      <c r="X79" s="233"/>
      <c r="Y79" s="233"/>
      <c r="Z79" s="233"/>
    </row>
    <row r="80" spans="1:29" ht="15.75" thickBot="1" x14ac:dyDescent="0.3">
      <c r="A80" s="233">
        <f t="shared" si="7"/>
        <v>0</v>
      </c>
      <c r="B80" s="118">
        <f t="shared" si="11"/>
        <v>0</v>
      </c>
      <c r="C80" s="17">
        <v>0</v>
      </c>
      <c r="D80" s="18">
        <v>0</v>
      </c>
      <c r="E80" s="298" t="s">
        <v>10</v>
      </c>
      <c r="F80" s="18">
        <v>0</v>
      </c>
      <c r="G80" s="18">
        <v>0</v>
      </c>
      <c r="H80" s="18">
        <v>0</v>
      </c>
      <c r="I80" s="299">
        <f t="shared" si="8"/>
        <v>0</v>
      </c>
      <c r="J80" s="299">
        <f t="shared" si="12"/>
        <v>0</v>
      </c>
      <c r="K80" s="300">
        <f t="shared" si="9"/>
        <v>0</v>
      </c>
      <c r="L80" s="290" t="str">
        <f t="shared" si="10"/>
        <v>0
0
0
0</v>
      </c>
      <c r="M80" s="233"/>
      <c r="N80" s="233"/>
      <c r="O80" s="272"/>
      <c r="P80" s="233"/>
      <c r="Q80" s="233"/>
      <c r="R80" s="272"/>
      <c r="S80" s="272"/>
      <c r="T80" s="233"/>
      <c r="U80" s="233"/>
      <c r="V80" s="233"/>
      <c r="W80" s="233"/>
      <c r="X80" s="233"/>
      <c r="Y80" s="233"/>
      <c r="Z80" s="233"/>
    </row>
    <row r="81" spans="1:26" ht="15.75" thickBot="1" x14ac:dyDescent="0.3">
      <c r="A81" s="233">
        <f t="shared" si="7"/>
        <v>0</v>
      </c>
      <c r="B81" s="118">
        <f t="shared" si="11"/>
        <v>0</v>
      </c>
      <c r="C81" s="17">
        <v>0</v>
      </c>
      <c r="D81" s="18">
        <v>0</v>
      </c>
      <c r="E81" s="298" t="s">
        <v>10</v>
      </c>
      <c r="F81" s="18">
        <v>0</v>
      </c>
      <c r="G81" s="18">
        <v>0</v>
      </c>
      <c r="H81" s="18">
        <v>0</v>
      </c>
      <c r="I81" s="299">
        <f t="shared" si="8"/>
        <v>0</v>
      </c>
      <c r="J81" s="299">
        <f t="shared" si="12"/>
        <v>0</v>
      </c>
      <c r="K81" s="300">
        <f t="shared" si="9"/>
        <v>0</v>
      </c>
      <c r="L81" s="290" t="str">
        <f t="shared" si="10"/>
        <v>0
0
0
0</v>
      </c>
      <c r="O81" s="315"/>
      <c r="P81" s="234"/>
      <c r="Q81" s="234"/>
      <c r="R81" s="315"/>
      <c r="S81" s="315"/>
      <c r="T81" s="234"/>
      <c r="U81" s="234"/>
      <c r="V81" s="234"/>
      <c r="W81" s="234"/>
      <c r="X81" s="234"/>
      <c r="Y81" s="234"/>
      <c r="Z81" s="234"/>
    </row>
    <row r="82" spans="1:26" ht="15.75" thickBot="1" x14ac:dyDescent="0.3">
      <c r="A82" s="233">
        <f t="shared" si="7"/>
        <v>0</v>
      </c>
      <c r="B82" s="118">
        <f t="shared" si="11"/>
        <v>0</v>
      </c>
      <c r="C82" s="17">
        <v>0</v>
      </c>
      <c r="D82" s="18">
        <v>0</v>
      </c>
      <c r="E82" s="298" t="s">
        <v>10</v>
      </c>
      <c r="F82" s="18">
        <v>0</v>
      </c>
      <c r="G82" s="18">
        <v>0</v>
      </c>
      <c r="H82" s="18">
        <v>0</v>
      </c>
      <c r="I82" s="299">
        <f>ROUNDDOWN(((C82*12)+D82)*((F82*12)+G82)/144, 1)</f>
        <v>0</v>
      </c>
      <c r="J82" s="299">
        <f t="shared" si="12"/>
        <v>0</v>
      </c>
      <c r="K82" s="300">
        <f>I82*H82</f>
        <v>0</v>
      </c>
      <c r="L82" s="290" t="str">
        <f t="shared" si="10"/>
        <v>0
0
0
0</v>
      </c>
      <c r="O82" s="315"/>
      <c r="P82" s="234"/>
      <c r="Q82" s="234"/>
      <c r="R82" s="315"/>
      <c r="S82" s="315"/>
      <c r="T82" s="234"/>
      <c r="U82" s="234"/>
      <c r="V82" s="234"/>
      <c r="W82" s="234"/>
      <c r="X82" s="234"/>
      <c r="Y82" s="234"/>
      <c r="Z82" s="234"/>
    </row>
    <row r="83" spans="1:26" ht="15.75" thickBot="1" x14ac:dyDescent="0.3">
      <c r="A83" s="233">
        <f t="shared" si="7"/>
        <v>0</v>
      </c>
      <c r="B83" s="118">
        <f t="shared" si="11"/>
        <v>0</v>
      </c>
      <c r="C83" s="17">
        <v>0</v>
      </c>
      <c r="D83" s="18">
        <v>0</v>
      </c>
      <c r="E83" s="298" t="s">
        <v>10</v>
      </c>
      <c r="F83" s="18">
        <v>0</v>
      </c>
      <c r="G83" s="18">
        <v>0</v>
      </c>
      <c r="H83" s="18">
        <v>0</v>
      </c>
      <c r="I83" s="299">
        <f>ROUNDDOWN(((C83*12)+D83)*((F83*12)+G83)/144, 1)</f>
        <v>0</v>
      </c>
      <c r="J83" s="299">
        <f t="shared" si="12"/>
        <v>0</v>
      </c>
      <c r="K83" s="300">
        <f>I83*H83</f>
        <v>0</v>
      </c>
      <c r="L83" s="290" t="str">
        <f t="shared" si="10"/>
        <v>0
0
0
0</v>
      </c>
      <c r="O83" s="315"/>
      <c r="P83" s="234"/>
      <c r="Q83" s="234"/>
      <c r="R83" s="315"/>
      <c r="S83" s="315"/>
      <c r="T83" s="234"/>
      <c r="U83" s="234"/>
      <c r="V83" s="234"/>
      <c r="W83" s="234"/>
      <c r="X83" s="234"/>
      <c r="Y83" s="234"/>
      <c r="Z83" s="234"/>
    </row>
    <row r="84" spans="1:26" ht="15.75" thickBot="1" x14ac:dyDescent="0.3">
      <c r="A84" s="233">
        <f t="shared" si="7"/>
        <v>0</v>
      </c>
      <c r="B84" s="118">
        <f t="shared" si="11"/>
        <v>0</v>
      </c>
      <c r="C84" s="17">
        <v>0</v>
      </c>
      <c r="D84" s="18">
        <v>0</v>
      </c>
      <c r="E84" s="298" t="s">
        <v>10</v>
      </c>
      <c r="F84" s="18">
        <v>0</v>
      </c>
      <c r="G84" s="18">
        <v>0</v>
      </c>
      <c r="H84" s="18">
        <v>0</v>
      </c>
      <c r="I84" s="299">
        <f>ROUNDDOWN(((C84*12)+D84)*((F84*12)+G84)/144, 1)</f>
        <v>0</v>
      </c>
      <c r="J84" s="299">
        <f t="shared" si="12"/>
        <v>0</v>
      </c>
      <c r="K84" s="300">
        <f>I84*H84</f>
        <v>0</v>
      </c>
      <c r="L84" s="290" t="str">
        <f t="shared" si="10"/>
        <v>0
0
0
0</v>
      </c>
      <c r="V84" s="234"/>
      <c r="W84" s="234"/>
      <c r="X84" s="234"/>
      <c r="Y84" s="234"/>
    </row>
    <row r="85" spans="1:26" ht="15.75" thickBot="1" x14ac:dyDescent="0.3">
      <c r="A85" s="233">
        <f t="shared" si="7"/>
        <v>0</v>
      </c>
      <c r="B85" s="118">
        <f t="shared" si="11"/>
        <v>0</v>
      </c>
      <c r="C85" s="17">
        <v>0</v>
      </c>
      <c r="D85" s="18">
        <v>0</v>
      </c>
      <c r="E85" s="298" t="s">
        <v>10</v>
      </c>
      <c r="F85" s="18">
        <v>0</v>
      </c>
      <c r="G85" s="18">
        <v>0</v>
      </c>
      <c r="H85" s="18">
        <v>0</v>
      </c>
      <c r="I85" s="299">
        <f>ROUNDDOWN(((C85*12)+D85)*((F85*12)+G85)/144, 1)</f>
        <v>0</v>
      </c>
      <c r="J85" s="299">
        <f t="shared" si="12"/>
        <v>0</v>
      </c>
      <c r="K85" s="300">
        <f>I85*H85</f>
        <v>0</v>
      </c>
      <c r="L85" s="290" t="str">
        <f t="shared" si="10"/>
        <v>0
0
0
0</v>
      </c>
      <c r="V85" s="234"/>
      <c r="W85" s="234"/>
      <c r="X85" s="234"/>
      <c r="Y85" s="234"/>
    </row>
    <row r="86" spans="1:26" ht="15.75" thickBot="1" x14ac:dyDescent="0.3">
      <c r="A86" s="233">
        <f t="shared" si="7"/>
        <v>0</v>
      </c>
      <c r="B86" s="118">
        <f t="shared" si="11"/>
        <v>0</v>
      </c>
      <c r="C86" s="19">
        <v>0</v>
      </c>
      <c r="D86" s="20">
        <v>0</v>
      </c>
      <c r="E86" s="305" t="s">
        <v>10</v>
      </c>
      <c r="F86" s="20">
        <v>0</v>
      </c>
      <c r="G86" s="20">
        <v>0</v>
      </c>
      <c r="H86" s="20">
        <v>0</v>
      </c>
      <c r="I86" s="306">
        <f>ROUNDDOWN(((C86*12)+D86)*((F86*12)+G86)/144, 1)</f>
        <v>0</v>
      </c>
      <c r="J86" s="306">
        <f>ROUNDUP(((((C86*12+D86)/12)+((F86*12+G86)/12)*2)*H86),0)</f>
        <v>0</v>
      </c>
      <c r="K86" s="307">
        <f>I86*H86</f>
        <v>0</v>
      </c>
      <c r="L86" s="290" t="str">
        <f t="shared" si="10"/>
        <v>0
0
0
0</v>
      </c>
      <c r="V86" s="234"/>
      <c r="W86" s="234"/>
      <c r="X86" s="234"/>
      <c r="Y86" s="234"/>
    </row>
    <row r="87" spans="1:26" ht="15.75" thickBot="1" x14ac:dyDescent="0.3">
      <c r="A87" s="233">
        <f>SUM(A72:A86)</f>
        <v>0</v>
      </c>
      <c r="B87" s="233"/>
      <c r="C87" s="116"/>
      <c r="D87" s="116"/>
      <c r="E87" s="116"/>
      <c r="F87" s="116"/>
      <c r="G87" s="116"/>
      <c r="H87" s="413">
        <f>SUM(H72:H81)</f>
        <v>0</v>
      </c>
      <c r="I87" s="411" t="s">
        <v>539</v>
      </c>
      <c r="J87" s="416">
        <f>SUM(J72:J81)</f>
        <v>0</v>
      </c>
      <c r="K87" s="308">
        <f>SUM(K72:K86)</f>
        <v>0</v>
      </c>
      <c r="M87" s="304"/>
      <c r="N87" s="304"/>
      <c r="O87" s="304"/>
      <c r="P87" s="304"/>
      <c r="Q87" s="304"/>
      <c r="R87" s="304"/>
      <c r="V87" s="234"/>
      <c r="W87" s="234"/>
      <c r="X87" s="234"/>
      <c r="Y87" s="234"/>
    </row>
    <row r="88" spans="1:26" ht="15.75" thickBot="1" x14ac:dyDescent="0.3">
      <c r="A88" s="412"/>
      <c r="B88" s="412"/>
      <c r="H88" s="275"/>
      <c r="I88" s="275" t="s">
        <v>41</v>
      </c>
      <c r="J88" s="415">
        <f>H87*2</f>
        <v>0</v>
      </c>
      <c r="K88" s="409"/>
      <c r="M88" s="239">
        <v>4</v>
      </c>
      <c r="N88" s="239">
        <f>IF(AND(C11&gt;1,C11&lt;5),J66+J87,0)</f>
        <v>0</v>
      </c>
      <c r="O88" s="304"/>
      <c r="P88" s="304"/>
      <c r="Q88" s="304"/>
      <c r="R88" s="304"/>
    </row>
    <row r="89" spans="1:26" ht="15.75" thickBot="1" x14ac:dyDescent="0.3">
      <c r="H89" s="279"/>
      <c r="I89" s="279" t="s">
        <v>540</v>
      </c>
      <c r="J89" s="414">
        <f>IF(OR($C$11=3, $C$11=6),ROUNDUP(A87/4,0),0)</f>
        <v>0</v>
      </c>
      <c r="K89" s="410"/>
      <c r="M89" s="239">
        <v>6</v>
      </c>
      <c r="N89" s="239">
        <f>IF(AND(C11=5,C12&lt;8),J67+J88,0)</f>
        <v>0</v>
      </c>
      <c r="O89" s="304"/>
      <c r="P89" s="304"/>
      <c r="Q89" s="304"/>
      <c r="R89" s="304"/>
    </row>
    <row r="90" spans="1:26" x14ac:dyDescent="0.25">
      <c r="M90" s="239">
        <v>8</v>
      </c>
      <c r="N90" s="239">
        <f>IF(AND(C11=8,C13=9),J68+J89,0)</f>
        <v>0</v>
      </c>
      <c r="O90" s="304"/>
      <c r="P90" s="304"/>
      <c r="Q90" s="304"/>
      <c r="R90" s="304"/>
    </row>
    <row r="91" spans="1:26" ht="15.75" thickBot="1" x14ac:dyDescent="0.3">
      <c r="M91" s="304"/>
      <c r="N91" s="304"/>
      <c r="O91" s="304"/>
      <c r="P91" s="304"/>
      <c r="Q91" s="304"/>
      <c r="R91" s="304"/>
    </row>
    <row r="92" spans="1:26" ht="19.5" thickBot="1" x14ac:dyDescent="0.35">
      <c r="C92" s="729" t="s">
        <v>162</v>
      </c>
      <c r="D92" s="730"/>
      <c r="E92" s="730"/>
      <c r="F92" s="730"/>
      <c r="G92" s="730"/>
      <c r="H92" s="730"/>
      <c r="I92" s="730"/>
      <c r="J92" s="730"/>
      <c r="K92" s="731"/>
      <c r="M92" s="304"/>
      <c r="N92" s="304"/>
      <c r="O92" s="304"/>
      <c r="P92" s="304"/>
      <c r="Q92" s="304"/>
      <c r="R92" s="304"/>
    </row>
    <row r="93" spans="1:26" ht="15.75" thickBot="1" x14ac:dyDescent="0.3">
      <c r="M93" s="304"/>
      <c r="N93" s="304"/>
      <c r="O93" s="304"/>
      <c r="P93" s="304"/>
      <c r="Q93" s="304"/>
      <c r="R93" s="304"/>
    </row>
    <row r="94" spans="1:26" ht="15.75" thickBot="1" x14ac:dyDescent="0.3">
      <c r="C94" s="658" t="s">
        <v>164</v>
      </c>
      <c r="D94" s="659"/>
      <c r="E94" s="659"/>
      <c r="F94" s="659"/>
      <c r="G94" s="659"/>
      <c r="H94" s="660"/>
      <c r="J94" s="677" t="s">
        <v>172</v>
      </c>
      <c r="K94" s="678"/>
      <c r="L94" s="290"/>
      <c r="M94" s="303"/>
      <c r="N94" s="303"/>
      <c r="O94" s="303"/>
      <c r="P94" s="304"/>
      <c r="Q94" s="304"/>
      <c r="R94" s="304"/>
    </row>
    <row r="95" spans="1:26" x14ac:dyDescent="0.25">
      <c r="C95" s="695" t="s">
        <v>165</v>
      </c>
      <c r="D95" s="696"/>
      <c r="E95" s="423"/>
      <c r="F95" s="221">
        <v>5</v>
      </c>
      <c r="G95" s="424"/>
      <c r="H95" s="425">
        <v>3</v>
      </c>
      <c r="J95" s="430" t="s">
        <v>173</v>
      </c>
      <c r="K95" s="222">
        <v>5</v>
      </c>
      <c r="L95" s="232">
        <f>(40*(K95/8))</f>
        <v>25</v>
      </c>
      <c r="M95" s="234"/>
      <c r="N95" s="234"/>
      <c r="O95" s="315"/>
      <c r="P95" s="284"/>
      <c r="Q95" s="284"/>
    </row>
    <row r="96" spans="1:26" x14ac:dyDescent="0.25">
      <c r="C96" s="679" t="s">
        <v>163</v>
      </c>
      <c r="D96" s="680"/>
      <c r="E96" s="426"/>
      <c r="F96" s="223">
        <v>0</v>
      </c>
      <c r="G96" s="427" t="e">
        <f>F102*12/F96</f>
        <v>#DIV/0!</v>
      </c>
      <c r="H96" s="428">
        <v>4</v>
      </c>
      <c r="J96" s="262" t="s">
        <v>11</v>
      </c>
      <c r="K96" s="319">
        <f>C13+(D13/12)</f>
        <v>0</v>
      </c>
      <c r="L96" s="232">
        <f>K96+(L95/12)</f>
        <v>2.0833333333333335</v>
      </c>
      <c r="M96" s="234"/>
      <c r="N96" s="234"/>
      <c r="O96" s="315"/>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M97" s="234"/>
      <c r="N97" s="234"/>
      <c r="O97" s="315"/>
      <c r="P97" s="284"/>
      <c r="Q97" s="284"/>
    </row>
    <row r="98" spans="2:17" x14ac:dyDescent="0.25">
      <c r="C98" s="679" t="s">
        <v>167</v>
      </c>
      <c r="D98" s="680"/>
      <c r="E98" s="426"/>
      <c r="F98" s="223">
        <v>8</v>
      </c>
      <c r="G98" s="427"/>
      <c r="H98" s="428">
        <v>6</v>
      </c>
      <c r="J98" s="262" t="s">
        <v>176</v>
      </c>
      <c r="K98" s="321">
        <v>20</v>
      </c>
      <c r="L98" s="232" t="e">
        <f>L97*L96</f>
        <v>#DIV/0!</v>
      </c>
      <c r="M98" s="234"/>
      <c r="N98" s="234"/>
      <c r="O98" s="315"/>
      <c r="P98" s="284"/>
      <c r="Q98" s="284"/>
    </row>
    <row r="99" spans="2:17" x14ac:dyDescent="0.25">
      <c r="C99" s="693" t="s">
        <v>168</v>
      </c>
      <c r="D99" s="694"/>
      <c r="E99" s="265"/>
      <c r="F99" s="322">
        <f>40*(F95/8)</f>
        <v>25</v>
      </c>
      <c r="G99" s="317"/>
      <c r="H99" s="318">
        <v>7</v>
      </c>
      <c r="J99" s="323" t="s">
        <v>178</v>
      </c>
      <c r="K99" s="224">
        <v>0</v>
      </c>
      <c r="L99" s="232" t="e">
        <f>ROUNDUP(L98/K98,0)</f>
        <v>#DIV/0!</v>
      </c>
      <c r="M99" s="234"/>
      <c r="N99" s="234"/>
      <c r="O99" s="315"/>
      <c r="P99" s="284"/>
      <c r="Q99" s="284"/>
    </row>
    <row r="100" spans="2:17" ht="15.75" thickBot="1" x14ac:dyDescent="0.3">
      <c r="C100" s="693" t="s">
        <v>169</v>
      </c>
      <c r="D100" s="694"/>
      <c r="E100" s="265"/>
      <c r="F100" s="324">
        <f>6*(F95/8)</f>
        <v>3.75</v>
      </c>
      <c r="G100" s="317">
        <f>ROUNDUP((2*PI()*F100)*(90/360),0)</f>
        <v>6</v>
      </c>
      <c r="H100" s="318">
        <v>8</v>
      </c>
      <c r="J100" s="325" t="s">
        <v>171</v>
      </c>
      <c r="K100" s="225" t="e">
        <f>L99</f>
        <v>#DIV/0!</v>
      </c>
      <c r="L100" s="326"/>
      <c r="M100" s="234"/>
      <c r="N100" s="234"/>
      <c r="O100" s="315"/>
    </row>
    <row r="101" spans="2:17" x14ac:dyDescent="0.25">
      <c r="C101" s="693" t="s">
        <v>59</v>
      </c>
      <c r="D101" s="694"/>
      <c r="E101" s="265"/>
      <c r="F101" s="322">
        <f>SUM(F97,F98,F99,G100)</f>
        <v>43</v>
      </c>
      <c r="G101" s="317"/>
      <c r="H101" s="318"/>
      <c r="K101" s="431"/>
      <c r="L101" s="326"/>
      <c r="M101" s="234"/>
      <c r="N101" s="234"/>
      <c r="O101" s="315"/>
    </row>
    <row r="102" spans="2:17" x14ac:dyDescent="0.25">
      <c r="C102" s="693" t="s">
        <v>170</v>
      </c>
      <c r="D102" s="694"/>
      <c r="E102" s="265"/>
      <c r="F102" s="327">
        <f>C15</f>
        <v>0</v>
      </c>
      <c r="G102" s="317"/>
      <c r="H102" s="318"/>
      <c r="L102" s="326"/>
      <c r="M102" s="234"/>
      <c r="N102" s="234"/>
      <c r="O102" s="315"/>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16</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W2:X8"/>
    <mergeCell ref="C102:D102"/>
    <mergeCell ref="H15:I15"/>
    <mergeCell ref="H6:I6"/>
    <mergeCell ref="H7:I7"/>
    <mergeCell ref="H8:I8"/>
    <mergeCell ref="H9:I9"/>
    <mergeCell ref="E28:H28"/>
    <mergeCell ref="C6:F6"/>
    <mergeCell ref="C7:G7"/>
    <mergeCell ref="C8:G8"/>
    <mergeCell ref="C9:G9"/>
    <mergeCell ref="B10:D10"/>
    <mergeCell ref="F10:G10"/>
    <mergeCell ref="F16:G16"/>
    <mergeCell ref="B16:C16"/>
    <mergeCell ref="F15:G15"/>
    <mergeCell ref="J10:L10"/>
    <mergeCell ref="J6:L6"/>
    <mergeCell ref="K8:L8"/>
    <mergeCell ref="K9:L9"/>
    <mergeCell ref="K7:L7"/>
    <mergeCell ref="F14:G14"/>
    <mergeCell ref="H14:I14"/>
    <mergeCell ref="J108:K108"/>
    <mergeCell ref="F18:G18"/>
    <mergeCell ref="C104:D104"/>
    <mergeCell ref="C92:K92"/>
    <mergeCell ref="B32:C32"/>
    <mergeCell ref="B30:D30"/>
    <mergeCell ref="B21:C21"/>
    <mergeCell ref="F24:G24"/>
    <mergeCell ref="F27:G27"/>
    <mergeCell ref="F25:G25"/>
    <mergeCell ref="F22:G22"/>
    <mergeCell ref="C39:D39"/>
    <mergeCell ref="F39:G39"/>
    <mergeCell ref="C105:D105"/>
    <mergeCell ref="E29:F29"/>
    <mergeCell ref="E30:F30"/>
    <mergeCell ref="B27:C27"/>
    <mergeCell ref="C70:D70"/>
    <mergeCell ref="F70:G70"/>
    <mergeCell ref="B33:C33"/>
    <mergeCell ref="C38:K38"/>
    <mergeCell ref="D33:F33"/>
    <mergeCell ref="C69:K69"/>
    <mergeCell ref="B29:C29"/>
    <mergeCell ref="I30:J30"/>
    <mergeCell ref="I29:J29"/>
    <mergeCell ref="J28:K28"/>
    <mergeCell ref="I32:L33"/>
    <mergeCell ref="K31:L31"/>
    <mergeCell ref="J27:K27"/>
    <mergeCell ref="C101:D101"/>
    <mergeCell ref="C95:D95"/>
    <mergeCell ref="C97:D97"/>
    <mergeCell ref="C98:D98"/>
    <mergeCell ref="C99:D99"/>
    <mergeCell ref="C100:D100"/>
    <mergeCell ref="C115:E115"/>
    <mergeCell ref="C116:E116"/>
    <mergeCell ref="C117:E117"/>
    <mergeCell ref="C118:E118"/>
    <mergeCell ref="C113:E113"/>
    <mergeCell ref="C109:E109"/>
    <mergeCell ref="C110:E110"/>
    <mergeCell ref="C111:E111"/>
    <mergeCell ref="C112:E112"/>
    <mergeCell ref="C114:E114"/>
    <mergeCell ref="C108:H108"/>
    <mergeCell ref="D16:D17"/>
    <mergeCell ref="J23:K23"/>
    <mergeCell ref="J24:K24"/>
    <mergeCell ref="J25:K25"/>
    <mergeCell ref="J26:K26"/>
    <mergeCell ref="J17:L17"/>
    <mergeCell ref="J16:K16"/>
    <mergeCell ref="J18:K18"/>
    <mergeCell ref="J19:K19"/>
    <mergeCell ref="J20:K20"/>
    <mergeCell ref="J21:K21"/>
    <mergeCell ref="J22:K22"/>
    <mergeCell ref="C94:H94"/>
    <mergeCell ref="J94:K94"/>
    <mergeCell ref="C96:D96"/>
  </mergeCells>
  <dataValidations count="8">
    <dataValidation type="list" allowBlank="1" showInputMessage="1" showErrorMessage="1" sqref="H29:H30" xr:uid="{00000000-0002-0000-0100-000000000000}">
      <formula1>$H$18:$H$22</formula1>
    </dataValidation>
    <dataValidation allowBlank="1" showInputMessage="1" showErrorMessage="1" promptTitle="Length" prompt="Length in Feet" sqref="K12" xr:uid="{00000000-0002-0000-0100-000001000000}"/>
    <dataValidation allowBlank="1" showInputMessage="1" showErrorMessage="1" promptTitle="Width" prompt="Width in Feet" sqref="K13" xr:uid="{00000000-0002-0000-0100-000002000000}"/>
    <dataValidation allowBlank="1" showInputMessage="1" showErrorMessage="1" sqref="K7:L7" xr:uid="{00000000-0002-0000-0100-000003000000}"/>
    <dataValidation type="list" allowBlank="1" showInputMessage="1" showErrorMessage="1" sqref="F95 K95" xr:uid="{00000000-0002-0000-0100-000004000000}">
      <formula1>$H$95:$H$100</formula1>
    </dataValidation>
    <dataValidation type="list" allowBlank="1" showInputMessage="1" showErrorMessage="1" sqref="F109" xr:uid="{00000000-0002-0000-0100-000005000000}">
      <formula1>$G$109:$G$114</formula1>
    </dataValidation>
    <dataValidation type="list" allowBlank="1" showInputMessage="1" showErrorMessage="1" sqref="K8:L8" xr:uid="{00000000-0002-0000-0100-000006000000}">
      <formula1>$Y$3:$Y$10</formula1>
    </dataValidation>
    <dataValidation type="list" allowBlank="1" showInputMessage="1" showErrorMessage="1" sqref="K31:L31" xr:uid="{00000000-0002-0000-0100-000007000000}">
      <formula1>$Y$2:$Y$10</formula1>
    </dataValidation>
  </dataValidations>
  <hyperlinks>
    <hyperlink ref="F16:G16" r:id="rId1" display="Tamko TW-60" xr:uid="{00000000-0004-0000-0100-000000000000}"/>
    <hyperlink ref="F18:G18" r:id="rId2" display="DMX (DMX-244-20)" xr:uid="{00000000-0004-0000-0100-000001000000}"/>
    <hyperlink ref="B10:D10" r:id="rId3" display="Build Block" xr:uid="{00000000-0004-0000-0100-000002000000}"/>
    <hyperlink ref="J10:L10" r:id="rId4" display="Build Deck" xr:uid="{00000000-0004-0000-0100-000003000000}"/>
    <hyperlink ref="F22:G22" r:id="rId5" display="Custom Corner" xr:uid="{00000000-0004-0000-0100-000004000000}"/>
    <hyperlink ref="F25:G25" r:id="rId6" display="Custom Corner" xr:uid="{00000000-0004-0000-01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1043" r:id="rId10" name="Drop Down 19">
              <controlPr defaultSize="0" autoLine="0" autoPict="0">
                <anchor moveWithCells="1">
                  <from>
                    <xdr:col>2</xdr:col>
                    <xdr:colOff>9525</xdr:colOff>
                    <xdr:row>10</xdr:row>
                    <xdr:rowOff>9525</xdr:rowOff>
                  </from>
                  <to>
                    <xdr:col>4</xdr:col>
                    <xdr:colOff>0</xdr:colOff>
                    <xdr:row>10</xdr:row>
                    <xdr:rowOff>190500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xdr:col>
                    <xdr:colOff>190500</xdr:colOff>
                    <xdr:row>9</xdr:row>
                    <xdr:rowOff>9525</xdr:rowOff>
                  </from>
                  <to>
                    <xdr:col>7</xdr:col>
                    <xdr:colOff>0</xdr:colOff>
                    <xdr:row>10</xdr:row>
                    <xdr:rowOff>19050</xdr:rowOff>
                  </to>
                </anchor>
              </controlPr>
            </control>
          </mc:Choice>
        </mc:AlternateContent>
        <mc:AlternateContent xmlns:mc="http://schemas.openxmlformats.org/markup-compatibility/2006">
          <mc:Choice Requires="x14">
            <control shapeId="1047" r:id="rId12" name="Drop Down 2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1052" r:id="rId14" name="Drop Down 28">
              <controlPr defaultSize="0" autoLine="0" autoPict="0">
                <anchor moveWithCells="1">
                  <from>
                    <xdr:col>3</xdr:col>
                    <xdr:colOff>9525</xdr:colOff>
                    <xdr:row>23</xdr:row>
                    <xdr:rowOff>180975</xdr:rowOff>
                  </from>
                  <to>
                    <xdr:col>5</xdr:col>
                    <xdr:colOff>0</xdr:colOff>
                    <xdr:row>24</xdr:row>
                    <xdr:rowOff>180975</xdr:rowOff>
                  </to>
                </anchor>
              </controlPr>
            </control>
          </mc:Choice>
        </mc:AlternateContent>
        <mc:AlternateContent xmlns:mc="http://schemas.openxmlformats.org/markup-compatibility/2006">
          <mc:Choice Requires="x14">
            <control shapeId="1053" r:id="rId15" name="Drop Down 29">
              <controlPr defaultSize="0" autoLine="0" autoPict="0">
                <anchor moveWithCells="1">
                  <from>
                    <xdr:col>3</xdr:col>
                    <xdr:colOff>9525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054" r:id="rId16" name="Drop Down 30">
              <controlPr defaultSize="0" autoLine="0" autoPict="0">
                <anchor moveWithCells="1">
                  <from>
                    <xdr:col>3</xdr:col>
                    <xdr:colOff>9525</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1055" r:id="rId17" name="Drop Down 31">
              <controlPr defaultSize="0" autoLine="0" autoPict="0">
                <anchor moveWithCells="1">
                  <from>
                    <xdr:col>5</xdr:col>
                    <xdr:colOff>0</xdr:colOff>
                    <xdr:row>18</xdr:row>
                    <xdr:rowOff>180975</xdr:rowOff>
                  </from>
                  <to>
                    <xdr:col>7</xdr:col>
                    <xdr:colOff>0</xdr:colOff>
                    <xdr:row>20</xdr:row>
                    <xdr:rowOff>0</xdr:rowOff>
                  </to>
                </anchor>
              </controlPr>
            </control>
          </mc:Choice>
        </mc:AlternateContent>
        <mc:AlternateContent xmlns:mc="http://schemas.openxmlformats.org/markup-compatibility/2006">
          <mc:Choice Requires="x14">
            <control shapeId="1058" r:id="rId18" name="Drop Down 34">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1068" r:id="rId19" name="Option Button 44">
              <controlPr locked="0" defaultSize="0" autoFill="0" autoLine="0" autoPict="0">
                <anchor moveWithCells="1">
                  <from>
                    <xdr:col>3</xdr:col>
                    <xdr:colOff>0</xdr:colOff>
                    <xdr:row>17</xdr:row>
                    <xdr:rowOff>9525</xdr:rowOff>
                  </from>
                  <to>
                    <xdr:col>5</xdr:col>
                    <xdr:colOff>9525</xdr:colOff>
                    <xdr:row>18</xdr:row>
                    <xdr:rowOff>9525</xdr:rowOff>
                  </to>
                </anchor>
              </controlPr>
            </control>
          </mc:Choice>
        </mc:AlternateContent>
        <mc:AlternateContent xmlns:mc="http://schemas.openxmlformats.org/markup-compatibility/2006">
          <mc:Choice Requires="x14">
            <control shapeId="1069" r:id="rId20" name="Option Button 45">
              <controlPr locked="0" defaultSize="0" autoFill="0" autoLine="0" autoPict="0">
                <anchor moveWithCells="1">
                  <from>
                    <xdr:col>3</xdr:col>
                    <xdr:colOff>0</xdr:colOff>
                    <xdr:row>18</xdr:row>
                    <xdr:rowOff>9525</xdr:rowOff>
                  </from>
                  <to>
                    <xdr:col>5</xdr:col>
                    <xdr:colOff>0</xdr:colOff>
                    <xdr:row>18</xdr:row>
                    <xdr:rowOff>190500</xdr:rowOff>
                  </to>
                </anchor>
              </controlPr>
            </control>
          </mc:Choice>
        </mc:AlternateContent>
      </controls>
    </mc:Choice>
  </mc:AlternateContent>
  <tableParts count="2">
    <tablePart r:id="rId21"/>
    <tablePart r:id="rId2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A120"/>
  <sheetViews>
    <sheetView showRuler="0" zoomScaleNormal="100" zoomScalePageLayoutView="115" workbookViewId="0">
      <selection activeCell="K31" sqref="K31:L31"/>
    </sheetView>
  </sheetViews>
  <sheetFormatPr defaultRowHeight="15" x14ac:dyDescent="0.25"/>
  <cols>
    <col min="1" max="1" width="3.7109375" style="235" customWidth="1"/>
    <col min="2" max="2" width="12.85546875" style="235" bestFit="1" customWidth="1"/>
    <col min="3" max="3" width="11.140625" style="235" bestFit="1" customWidth="1"/>
    <col min="4" max="4" width="9.7109375" style="235" bestFit="1" customWidth="1"/>
    <col min="5" max="5" width="3" style="235" bestFit="1" customWidth="1"/>
    <col min="6" max="6" width="8.85546875" style="235" bestFit="1" customWidth="1"/>
    <col min="7" max="7" width="12.28515625" style="235" bestFit="1" customWidth="1"/>
    <col min="8" max="8" width="10.7109375" style="235" customWidth="1"/>
    <col min="9" max="9" width="15.855468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28515625" style="235" bestFit="1" customWidth="1"/>
    <col min="17" max="17" width="12.85546875" style="235" customWidth="1"/>
    <col min="18" max="18" width="9.28515625" style="316" bestFit="1" customWidth="1"/>
    <col min="19" max="19" width="9.85546875" style="316" bestFit="1" customWidth="1"/>
    <col min="20" max="20" width="10.7109375" style="235" customWidth="1"/>
    <col min="21" max="21" width="8" style="235" bestFit="1" customWidth="1"/>
    <col min="22" max="22" width="10" style="235" bestFit="1" customWidth="1"/>
    <col min="23" max="25" width="9.28515625" style="235" bestFit="1" customWidth="1"/>
    <col min="26" max="26" width="13.42578125" style="235" bestFit="1" customWidth="1"/>
    <col min="27"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1'!C6:F6</f>
        <v xml:space="preserve">Name </v>
      </c>
      <c r="D6" s="766"/>
      <c r="E6" s="766"/>
      <c r="F6" s="716"/>
      <c r="G6" s="249" t="s">
        <v>114</v>
      </c>
      <c r="H6" s="715" t="str">
        <f>'Level 1'!$H$6</f>
        <v xml:space="preserve">Number  </v>
      </c>
      <c r="I6" s="716"/>
      <c r="J6" s="749" t="str">
        <f ca="1">RIGHT(CELL("filename",E2),LEN(CELL("filename",E2))-FIND("]",CELL("filename",E2)))</f>
        <v>Level 2</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401"/>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401"/>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661"/>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661"/>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7">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405"/>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IF(D26=2,G36,MAX(G34:G37))-IF(L22&gt;0,C24,0)</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IF($J$19=Table44[[#This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IF($J$19=Table44[[#This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IF($J$19=Table44[[#This Row],[Block Size]],$L$19,0)</f>
        <v>0</v>
      </c>
      <c r="X32" s="239">
        <f t="shared" si="0"/>
        <v>0</v>
      </c>
      <c r="Y32" s="239">
        <v>6.5844E-2</v>
      </c>
      <c r="Z32" s="284"/>
      <c r="AA32" s="234"/>
    </row>
    <row r="33" spans="1:27" ht="15.75" thickBot="1" x14ac:dyDescent="0.3">
      <c r="B33" s="700" t="s">
        <v>40</v>
      </c>
      <c r="C33" s="701"/>
      <c r="D33" s="705">
        <f>ROUNDUP(Table44[[#Totals],[Concrete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IF($J$19=Table44[[#This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IF($J$19=Table44[[#This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IF($J$19=Table44[[#This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IF($J$19=Table44[[#This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IF($J$19=Table44[[#This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IF($J$19=Table44[[#This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IF($J$19=Table44[[#This Row],[Block Size]],$L$19,0)</f>
        <v>0</v>
      </c>
      <c r="X39" s="239">
        <f t="shared" si="0"/>
        <v>0</v>
      </c>
      <c r="Y39" s="239">
        <v>0.19752900000000001</v>
      </c>
      <c r="Z39" s="284"/>
      <c r="AA39" s="234"/>
    </row>
    <row r="40" spans="1:27" ht="15.75" thickBot="1" x14ac:dyDescent="0.3">
      <c r="A40" s="233"/>
      <c r="B40" s="118"/>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IF($J$20=Table44[[#This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IF($J$20=Table44[[#This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IF($J$20=Table44[[#This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IF($J$20=Table44[[#This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IF($J$20=Table44[[#This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IF($J$21=Table44[[#This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IF($J$21=Table44[[#This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IF($J$21=Table44[[#This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IF($J$22=Table44[[#This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IF($J$22=Table44[[#This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IF($J$23=Table44[[#This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IF($J$23=Table44[[#This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IF($J$20=Table44[[#This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IF($J$20=Table44[[#This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SUM(Table44[Concrete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239">
        <v>4</v>
      </c>
      <c r="N88" s="239"/>
      <c r="O88" s="304"/>
      <c r="P88" s="304"/>
      <c r="Q88" s="304"/>
      <c r="R88" s="304"/>
    </row>
    <row r="89" spans="1:18" ht="15.75" thickBot="1" x14ac:dyDescent="0.3">
      <c r="H89" s="279"/>
      <c r="I89" s="279" t="s">
        <v>540</v>
      </c>
      <c r="J89" s="414">
        <f>IF(OR($C$11=3, $C$11=6),ROUNDUP(A87/4,0),0)</f>
        <v>0</v>
      </c>
      <c r="K89" s="410"/>
      <c r="M89" s="239">
        <v>6</v>
      </c>
      <c r="N89" s="239"/>
      <c r="O89" s="304"/>
      <c r="P89" s="304"/>
      <c r="Q89" s="304"/>
      <c r="R89" s="304"/>
    </row>
    <row r="90" spans="1:18" x14ac:dyDescent="0.25">
      <c r="M90" s="239">
        <v>8</v>
      </c>
      <c r="N90" s="239"/>
      <c r="O90" s="304"/>
      <c r="P90" s="304"/>
      <c r="Q90" s="304"/>
      <c r="R90" s="304"/>
    </row>
    <row r="91" spans="1:18" ht="15.75" thickBot="1" x14ac:dyDescent="0.3">
      <c r="M91" s="304"/>
      <c r="N91" s="304"/>
      <c r="O91" s="304"/>
      <c r="P91" s="304"/>
      <c r="Q91" s="304"/>
      <c r="R91" s="304"/>
    </row>
    <row r="92" spans="1:18" ht="19.5" thickBot="1" x14ac:dyDescent="0.35">
      <c r="C92" s="729" t="s">
        <v>162</v>
      </c>
      <c r="D92" s="730"/>
      <c r="E92" s="730"/>
      <c r="F92" s="730"/>
      <c r="G92" s="730"/>
      <c r="H92" s="730"/>
      <c r="I92" s="730"/>
      <c r="J92" s="730"/>
      <c r="K92" s="731"/>
      <c r="M92" s="304"/>
      <c r="N92" s="304"/>
      <c r="O92" s="304"/>
      <c r="P92" s="304"/>
      <c r="Q92" s="304"/>
      <c r="R92" s="304"/>
    </row>
    <row r="93" spans="1:18" ht="15.75" thickBot="1" x14ac:dyDescent="0.3">
      <c r="M93" s="304"/>
      <c r="N93" s="304"/>
      <c r="O93" s="304"/>
      <c r="P93" s="304"/>
      <c r="Q93" s="304"/>
      <c r="R93" s="304"/>
    </row>
    <row r="94" spans="1:18" ht="15.75" thickBot="1" x14ac:dyDescent="0.3">
      <c r="C94" s="658" t="s">
        <v>164</v>
      </c>
      <c r="D94" s="659"/>
      <c r="E94" s="659"/>
      <c r="F94" s="659"/>
      <c r="G94" s="659"/>
      <c r="H94" s="660"/>
      <c r="J94" s="677" t="s">
        <v>172</v>
      </c>
      <c r="K94" s="678"/>
      <c r="M94" s="304"/>
      <c r="N94" s="304"/>
      <c r="O94" s="304"/>
      <c r="P94" s="304"/>
      <c r="Q94" s="304"/>
      <c r="R94" s="304"/>
    </row>
    <row r="95" spans="1:18" x14ac:dyDescent="0.25">
      <c r="C95" s="695" t="s">
        <v>165</v>
      </c>
      <c r="D95" s="696"/>
      <c r="E95" s="423"/>
      <c r="F95" s="221">
        <v>5</v>
      </c>
      <c r="G95" s="424"/>
      <c r="H95" s="425">
        <v>3</v>
      </c>
      <c r="J95" s="430" t="s">
        <v>173</v>
      </c>
      <c r="K95" s="222">
        <v>5</v>
      </c>
      <c r="L95" s="232">
        <f>(40*(K95/8))</f>
        <v>25</v>
      </c>
      <c r="M95" s="304"/>
      <c r="N95" s="304"/>
      <c r="P95" s="284"/>
      <c r="Q95" s="284"/>
    </row>
    <row r="96" spans="1:18" x14ac:dyDescent="0.25">
      <c r="C96" s="679" t="s">
        <v>163</v>
      </c>
      <c r="D96" s="680"/>
      <c r="E96" s="426"/>
      <c r="F96" s="223">
        <v>0</v>
      </c>
      <c r="G96" s="427" t="e">
        <f>F102*12/F96</f>
        <v>#DIV/0!</v>
      </c>
      <c r="H96" s="428">
        <v>4</v>
      </c>
      <c r="J96" s="262" t="s">
        <v>11</v>
      </c>
      <c r="K96" s="319">
        <f>C13+(D13/12)</f>
        <v>0</v>
      </c>
      <c r="L96" s="232">
        <f>K96+(L95/12)</f>
        <v>2.0833333333333335</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c r="P99" s="284"/>
      <c r="Q99" s="284"/>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row r="108" spans="2:17" ht="15.75" thickBot="1" x14ac:dyDescent="0.3">
      <c r="B108" s="21"/>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row r="119" spans="3:11" x14ac:dyDescent="0.25">
      <c r="C119" s="304"/>
      <c r="D119" s="304"/>
      <c r="E119" s="304"/>
      <c r="F119" s="304"/>
      <c r="G119" s="304"/>
      <c r="H119" s="193"/>
    </row>
    <row r="120" spans="3:11" x14ac:dyDescent="0.25">
      <c r="C120" s="304"/>
      <c r="D120" s="304"/>
      <c r="E120" s="304"/>
      <c r="F120" s="304"/>
      <c r="G120" s="304"/>
    </row>
  </sheetData>
  <sheetProtection sheet="1" objects="1" scenarios="1" selectLockedCells="1"/>
  <dataConsolidate/>
  <mergeCells count="87">
    <mergeCell ref="C114:E114"/>
    <mergeCell ref="C69:K69"/>
    <mergeCell ref="C70:D70"/>
    <mergeCell ref="F70:G70"/>
    <mergeCell ref="C100:D100"/>
    <mergeCell ref="C96:D96"/>
    <mergeCell ref="C97:D97"/>
    <mergeCell ref="C98:D98"/>
    <mergeCell ref="C99:D99"/>
    <mergeCell ref="C110:E110"/>
    <mergeCell ref="C101:D101"/>
    <mergeCell ref="C102:D102"/>
    <mergeCell ref="C105:D105"/>
    <mergeCell ref="C92:K92"/>
    <mergeCell ref="C94:H94"/>
    <mergeCell ref="J94:K94"/>
    <mergeCell ref="C39:D39"/>
    <mergeCell ref="F39:G39"/>
    <mergeCell ref="C111:E111"/>
    <mergeCell ref="C112:E112"/>
    <mergeCell ref="C113:E113"/>
    <mergeCell ref="C95:D95"/>
    <mergeCell ref="C104:D104"/>
    <mergeCell ref="C108:H108"/>
    <mergeCell ref="B33:C33"/>
    <mergeCell ref="D33:F33"/>
    <mergeCell ref="I33:L33"/>
    <mergeCell ref="C38:K38"/>
    <mergeCell ref="K31:L31"/>
    <mergeCell ref="E28:H28"/>
    <mergeCell ref="B29:C29"/>
    <mergeCell ref="E29:F29"/>
    <mergeCell ref="I29:J29"/>
    <mergeCell ref="B30:D30"/>
    <mergeCell ref="E30:F30"/>
    <mergeCell ref="I30:J30"/>
    <mergeCell ref="B21:C21"/>
    <mergeCell ref="F22:G22"/>
    <mergeCell ref="F24:G24"/>
    <mergeCell ref="J18:K18"/>
    <mergeCell ref="J19:K19"/>
    <mergeCell ref="J20:K20"/>
    <mergeCell ref="J21:K21"/>
    <mergeCell ref="J22:K22"/>
    <mergeCell ref="J23:K23"/>
    <mergeCell ref="J24:K24"/>
    <mergeCell ref="B16:C16"/>
    <mergeCell ref="F16:G16"/>
    <mergeCell ref="J16:K16"/>
    <mergeCell ref="J17:L17"/>
    <mergeCell ref="F18:G18"/>
    <mergeCell ref="D16:D17"/>
    <mergeCell ref="B10:D10"/>
    <mergeCell ref="F10:G10"/>
    <mergeCell ref="J10:L10"/>
    <mergeCell ref="F15:G15"/>
    <mergeCell ref="H15:I15"/>
    <mergeCell ref="F14:G14"/>
    <mergeCell ref="H14:I14"/>
    <mergeCell ref="C8:G8"/>
    <mergeCell ref="H8:I8"/>
    <mergeCell ref="K8:L8"/>
    <mergeCell ref="C9:G9"/>
    <mergeCell ref="H9:I9"/>
    <mergeCell ref="K9:L9"/>
    <mergeCell ref="C6:F6"/>
    <mergeCell ref="H6:I6"/>
    <mergeCell ref="J6:L6"/>
    <mergeCell ref="C7:G7"/>
    <mergeCell ref="H7:I7"/>
    <mergeCell ref="K7:L7"/>
    <mergeCell ref="C118:E118"/>
    <mergeCell ref="J25:K25"/>
    <mergeCell ref="J26:K26"/>
    <mergeCell ref="J27:K27"/>
    <mergeCell ref="J28:K28"/>
    <mergeCell ref="J108:K108"/>
    <mergeCell ref="C109:E109"/>
    <mergeCell ref="C115:E115"/>
    <mergeCell ref="C116:E116"/>
    <mergeCell ref="C117:E117"/>
    <mergeCell ref="F25:G25"/>
    <mergeCell ref="B32:C32"/>
    <mergeCell ref="I32:J32"/>
    <mergeCell ref="K32:L32"/>
    <mergeCell ref="B27:C27"/>
    <mergeCell ref="F27:G27"/>
  </mergeCells>
  <dataValidations count="6">
    <dataValidation type="list" allowBlank="1" showInputMessage="1" showErrorMessage="1" sqref="F95 K95" xr:uid="{00000000-0002-0000-0200-000000000000}">
      <formula1>$H$95:$H$100</formula1>
    </dataValidation>
    <dataValidation allowBlank="1" showInputMessage="1" showErrorMessage="1" sqref="K7:L7" xr:uid="{00000000-0002-0000-0200-000001000000}"/>
    <dataValidation allowBlank="1" showInputMessage="1" showErrorMessage="1" promptTitle="Width" prompt="Width in Feet" sqref="K13" xr:uid="{00000000-0002-0000-0200-000002000000}"/>
    <dataValidation allowBlank="1" showInputMessage="1" showErrorMessage="1" promptTitle="Length" prompt="Length in Feet" sqref="K12" xr:uid="{00000000-0002-0000-0200-000003000000}"/>
    <dataValidation type="list" allowBlank="1" showInputMessage="1" showErrorMessage="1" sqref="H29:H30" xr:uid="{00000000-0002-0000-0200-000004000000}">
      <formula1>$H$18:$H$22</formula1>
    </dataValidation>
    <dataValidation type="list" allowBlank="1" showInputMessage="1" showErrorMessage="1" sqref="F109" xr:uid="{00000000-0002-0000-0200-000005000000}">
      <formula1>$G$109:$G$114</formula1>
    </dataValidation>
  </dataValidations>
  <hyperlinks>
    <hyperlink ref="F16:G16" r:id="rId1" display="Tamko TW-60" xr:uid="{00000000-0004-0000-0200-000000000000}"/>
    <hyperlink ref="F18:G18" r:id="rId2" display="DMX (DMX-244-20)" xr:uid="{00000000-0004-0000-0200-000001000000}"/>
    <hyperlink ref="B10:D10" r:id="rId3" display="Build Block" xr:uid="{00000000-0004-0000-0200-000002000000}"/>
    <hyperlink ref="J10:L10" r:id="rId4" display="Build Deck" xr:uid="{00000000-0004-0000-0200-000003000000}"/>
    <hyperlink ref="F22:G22" r:id="rId5" display="Custom Corner" xr:uid="{00000000-0004-0000-0200-000004000000}"/>
    <hyperlink ref="F25:G25" r:id="rId6" display="Custom Corner" xr:uid="{00000000-0004-0000-02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39937" r:id="rId10" name="Drop Down 1">
              <controlPr defaultSize="0" autoLine="0" autoPict="0">
                <anchor moveWithCells="1">
                  <from>
                    <xdr:col>2</xdr:col>
                    <xdr:colOff>9525</xdr:colOff>
                    <xdr:row>10</xdr:row>
                    <xdr:rowOff>9525</xdr:rowOff>
                  </from>
                  <to>
                    <xdr:col>3</xdr:col>
                    <xdr:colOff>619125</xdr:colOff>
                    <xdr:row>10</xdr:row>
                    <xdr:rowOff>190500</xdr:rowOff>
                  </to>
                </anchor>
              </controlPr>
            </control>
          </mc:Choice>
        </mc:AlternateContent>
        <mc:AlternateContent xmlns:mc="http://schemas.openxmlformats.org/markup-compatibility/2006">
          <mc:Choice Requires="x14">
            <control shapeId="39938" r:id="rId11" name="Drop Down 2">
              <controlPr defaultSize="0" autoLine="0" autoPict="0">
                <anchor moveWithCells="1">
                  <from>
                    <xdr:col>4</xdr:col>
                    <xdr:colOff>190500</xdr:colOff>
                    <xdr:row>9</xdr:row>
                    <xdr:rowOff>9525</xdr:rowOff>
                  </from>
                  <to>
                    <xdr:col>6</xdr:col>
                    <xdr:colOff>809625</xdr:colOff>
                    <xdr:row>10</xdr:row>
                    <xdr:rowOff>19050</xdr:rowOff>
                  </to>
                </anchor>
              </controlPr>
            </control>
          </mc:Choice>
        </mc:AlternateContent>
        <mc:AlternateContent xmlns:mc="http://schemas.openxmlformats.org/markup-compatibility/2006">
          <mc:Choice Requires="x14">
            <control shapeId="39939"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39940" r:id="rId13" name="Drop Down 4">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39941" r:id="rId14" name="Drop Down 5">
              <controlPr defaultSize="0" autoLine="0" autoPict="0">
                <anchor moveWithCells="1">
                  <from>
                    <xdr:col>3</xdr:col>
                    <xdr:colOff>9525</xdr:colOff>
                    <xdr:row>23</xdr:row>
                    <xdr:rowOff>180975</xdr:rowOff>
                  </from>
                  <to>
                    <xdr:col>4</xdr:col>
                    <xdr:colOff>190500</xdr:colOff>
                    <xdr:row>24</xdr:row>
                    <xdr:rowOff>180975</xdr:rowOff>
                  </to>
                </anchor>
              </controlPr>
            </control>
          </mc:Choice>
        </mc:AlternateContent>
        <mc:AlternateContent xmlns:mc="http://schemas.openxmlformats.org/markup-compatibility/2006">
          <mc:Choice Requires="x14">
            <control shapeId="39942" r:id="rId15" name="Drop Down 6">
              <controlPr defaultSize="0" autoLine="0" autoPict="0">
                <anchor moveWithCells="1">
                  <from>
                    <xdr:col>3</xdr:col>
                    <xdr:colOff>9525</xdr:colOff>
                    <xdr:row>22</xdr:row>
                    <xdr:rowOff>0</xdr:rowOff>
                  </from>
                  <to>
                    <xdr:col>6</xdr:col>
                    <xdr:colOff>790575</xdr:colOff>
                    <xdr:row>23</xdr:row>
                    <xdr:rowOff>0</xdr:rowOff>
                  </to>
                </anchor>
              </controlPr>
            </control>
          </mc:Choice>
        </mc:AlternateContent>
        <mc:AlternateContent xmlns:mc="http://schemas.openxmlformats.org/markup-compatibility/2006">
          <mc:Choice Requires="x14">
            <control shapeId="39943" r:id="rId16" name="Drop Down 7">
              <controlPr defaultSize="0" autoLine="0" autoPict="0">
                <anchor moveWithCells="1">
                  <from>
                    <xdr:col>3</xdr:col>
                    <xdr:colOff>9525</xdr:colOff>
                    <xdr:row>25</xdr:row>
                    <xdr:rowOff>9525</xdr:rowOff>
                  </from>
                  <to>
                    <xdr:col>6</xdr:col>
                    <xdr:colOff>800100</xdr:colOff>
                    <xdr:row>26</xdr:row>
                    <xdr:rowOff>0</xdr:rowOff>
                  </to>
                </anchor>
              </controlPr>
            </control>
          </mc:Choice>
        </mc:AlternateContent>
        <mc:AlternateContent xmlns:mc="http://schemas.openxmlformats.org/markup-compatibility/2006">
          <mc:Choice Requires="x14">
            <control shapeId="39944" r:id="rId17" name="Drop Down 8">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39945"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39967" r:id="rId19" name="Drop Down 31">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39968" r:id="rId20" name="Drop Down 32">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39969" r:id="rId21" name="Drop Down 33">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39970" r:id="rId22" name="Option Button 34">
              <controlPr locked="0" defaultSize="0" autoFill="0" autoLine="0" autoPict="0">
                <anchor moveWithCells="1">
                  <from>
                    <xdr:col>2</xdr:col>
                    <xdr:colOff>723900</xdr:colOff>
                    <xdr:row>16</xdr:row>
                    <xdr:rowOff>190500</xdr:rowOff>
                  </from>
                  <to>
                    <xdr:col>4</xdr:col>
                    <xdr:colOff>171450</xdr:colOff>
                    <xdr:row>18</xdr:row>
                    <xdr:rowOff>0</xdr:rowOff>
                  </to>
                </anchor>
              </controlPr>
            </control>
          </mc:Choice>
        </mc:AlternateContent>
        <mc:AlternateContent xmlns:mc="http://schemas.openxmlformats.org/markup-compatibility/2006">
          <mc:Choice Requires="x14">
            <control shapeId="39971" r:id="rId23" name="Option Button 35">
              <controlPr locked="0" defaultSize="0" autoFill="0" autoLine="0" autoPict="0">
                <anchor moveWithCells="1">
                  <from>
                    <xdr:col>3</xdr:col>
                    <xdr:colOff>0</xdr:colOff>
                    <xdr:row>17</xdr:row>
                    <xdr:rowOff>190500</xdr:rowOff>
                  </from>
                  <to>
                    <xdr:col>4</xdr:col>
                    <xdr:colOff>190500</xdr:colOff>
                    <xdr:row>19</xdr:row>
                    <xdr:rowOff>19050</xdr:rowOff>
                  </to>
                </anchor>
              </controlPr>
            </control>
          </mc:Choice>
        </mc:AlternateContent>
      </controls>
    </mc:Choice>
  </mc:AlternateContent>
  <tableParts count="2">
    <tablePart r:id="rId24"/>
    <tablePart r:id="rId2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140625" style="235" bestFit="1" customWidth="1"/>
    <col min="4" max="4" width="9.7109375" style="235" bestFit="1" customWidth="1"/>
    <col min="5" max="5" width="3" style="235" bestFit="1" customWidth="1"/>
    <col min="6" max="6" width="8.85546875" style="235" bestFit="1" customWidth="1"/>
    <col min="7" max="7" width="12.28515625" style="235" bestFit="1" customWidth="1"/>
    <col min="8" max="8" width="10.7109375" style="235" customWidth="1"/>
    <col min="9" max="9" width="15.855468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28515625" style="235" bestFit="1" customWidth="1"/>
    <col min="17" max="17" width="12.85546875" style="235" customWidth="1"/>
    <col min="18" max="18" width="9.28515625" style="316" bestFit="1" customWidth="1"/>
    <col min="19" max="19" width="9.85546875" style="316" bestFit="1" customWidth="1"/>
    <col min="20" max="20" width="10.7109375" style="235" customWidth="1"/>
    <col min="21" max="21" width="8" style="235" bestFit="1" customWidth="1"/>
    <col min="22" max="22" width="10" style="235" bestFit="1" customWidth="1"/>
    <col min="23" max="25" width="9.28515625" style="235" bestFit="1" customWidth="1"/>
    <col min="26" max="26" width="13.42578125" style="235" bestFit="1" customWidth="1"/>
    <col min="27"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3</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IF($J$19=Table46[[#This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IF($J$19=Table46[[#This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IF($J$19=Table46[[#This Row],[Block Size]],$L$19,0)</f>
        <v>0</v>
      </c>
      <c r="X32" s="239">
        <f t="shared" si="0"/>
        <v>0</v>
      </c>
      <c r="Y32" s="239">
        <v>6.5844E-2</v>
      </c>
      <c r="Z32" s="284"/>
      <c r="AA32" s="234"/>
    </row>
    <row r="33" spans="1:27" ht="15.75" thickBot="1" x14ac:dyDescent="0.3">
      <c r="B33" s="700" t="s">
        <v>40</v>
      </c>
      <c r="C33" s="701"/>
      <c r="D33" s="705">
        <f>ROUNDUP(Table46[[#Totals],[Concrete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IF($J$19=Table46[[#This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IF($J$19=Table46[[#This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IF($J$19=Table46[[#This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IF($J$19=Table46[[#This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IF($J$19=Table46[[#This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IF($J$19=Table46[[#This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IF($J$19=Table46[[#This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IF($J$20=Table46[[#This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IF($J$20=Table46[[#This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IF($J$20=Table46[[#This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IF($J$20=Table46[[#This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IF($J$20=Table46[[#This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IF($J$21=Table46[[#This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IF($J$21=Table46[[#This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IF($J$21=Table46[[#This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IF($J$22=Table46[[#This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IF($J$22=Table46[[#This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IF($J$23=Table46[[#This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IF($J$23=Table46[[#This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IF($J$20=Table46[[#This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IF($J$20=Table46[[#This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SUM(Table46[Concrete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0</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39</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300-000000000000}">
      <formula1>$H$18:$H$22</formula1>
    </dataValidation>
    <dataValidation allowBlank="1" showInputMessage="1" showErrorMessage="1" promptTitle="Length" prompt="Length in Feet" sqref="K12" xr:uid="{00000000-0002-0000-0300-000001000000}"/>
    <dataValidation allowBlank="1" showInputMessage="1" showErrorMessage="1" promptTitle="Width" prompt="Width in Feet" sqref="K13" xr:uid="{00000000-0002-0000-0300-000002000000}"/>
    <dataValidation allowBlank="1" showInputMessage="1" showErrorMessage="1" sqref="K7:L7" xr:uid="{00000000-0002-0000-0300-000003000000}"/>
    <dataValidation type="list" allowBlank="1" showInputMessage="1" showErrorMessage="1" sqref="F109" xr:uid="{00000000-0002-0000-0300-000004000000}">
      <formula1>$G$109:$G$114</formula1>
    </dataValidation>
    <dataValidation type="list" allowBlank="1" showInputMessage="1" showErrorMessage="1" sqref="F95 K95" xr:uid="{00000000-0002-0000-0300-000005000000}">
      <formula1>$H$95:$H$100</formula1>
    </dataValidation>
  </dataValidations>
  <hyperlinks>
    <hyperlink ref="F16:G16" r:id="rId1" display="Tamko TW-60" xr:uid="{00000000-0004-0000-0300-000000000000}"/>
    <hyperlink ref="F18:G18" r:id="rId2" display="DMX (DMX-244-20)" xr:uid="{00000000-0004-0000-0300-000001000000}"/>
    <hyperlink ref="B10:D10" r:id="rId3" display="Build Block" xr:uid="{00000000-0004-0000-0300-000002000000}"/>
    <hyperlink ref="J10:L10" r:id="rId4" display="Build Deck" xr:uid="{00000000-0004-0000-0300-000003000000}"/>
    <hyperlink ref="F22:G22" r:id="rId5" display="Custom Corner" xr:uid="{00000000-0004-0000-0300-000004000000}"/>
    <hyperlink ref="F25:G25" r:id="rId6" display="Custom Corner" xr:uid="{00000000-0004-0000-03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0961" r:id="rId10" name="Drop Down 1">
              <controlPr defaultSize="0" autoLine="0" autoPict="0">
                <anchor moveWithCells="1">
                  <from>
                    <xdr:col>2</xdr:col>
                    <xdr:colOff>9525</xdr:colOff>
                    <xdr:row>10</xdr:row>
                    <xdr:rowOff>9525</xdr:rowOff>
                  </from>
                  <to>
                    <xdr:col>3</xdr:col>
                    <xdr:colOff>619125</xdr:colOff>
                    <xdr:row>10</xdr:row>
                    <xdr:rowOff>190500</xdr:rowOff>
                  </to>
                </anchor>
              </controlPr>
            </control>
          </mc:Choice>
        </mc:AlternateContent>
        <mc:AlternateContent xmlns:mc="http://schemas.openxmlformats.org/markup-compatibility/2006">
          <mc:Choice Requires="x14">
            <control shapeId="40962" r:id="rId11" name="Drop Down 2">
              <controlPr defaultSize="0" autoLine="0" autoPict="0">
                <anchor moveWithCells="1">
                  <from>
                    <xdr:col>4</xdr:col>
                    <xdr:colOff>190500</xdr:colOff>
                    <xdr:row>9</xdr:row>
                    <xdr:rowOff>9525</xdr:rowOff>
                  </from>
                  <to>
                    <xdr:col>6</xdr:col>
                    <xdr:colOff>809625</xdr:colOff>
                    <xdr:row>10</xdr:row>
                    <xdr:rowOff>19050</xdr:rowOff>
                  </to>
                </anchor>
              </controlPr>
            </control>
          </mc:Choice>
        </mc:AlternateContent>
        <mc:AlternateContent xmlns:mc="http://schemas.openxmlformats.org/markup-compatibility/2006">
          <mc:Choice Requires="x14">
            <control shapeId="40963"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0964" r:id="rId13" name="Drop Down 4">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0965" r:id="rId14" name="Drop Down 5">
              <controlPr defaultSize="0" autoLine="0" autoPict="0">
                <anchor moveWithCells="1">
                  <from>
                    <xdr:col>3</xdr:col>
                    <xdr:colOff>9525</xdr:colOff>
                    <xdr:row>23</xdr:row>
                    <xdr:rowOff>180975</xdr:rowOff>
                  </from>
                  <to>
                    <xdr:col>4</xdr:col>
                    <xdr:colOff>190500</xdr:colOff>
                    <xdr:row>24</xdr:row>
                    <xdr:rowOff>180975</xdr:rowOff>
                  </to>
                </anchor>
              </controlPr>
            </control>
          </mc:Choice>
        </mc:AlternateContent>
        <mc:AlternateContent xmlns:mc="http://schemas.openxmlformats.org/markup-compatibility/2006">
          <mc:Choice Requires="x14">
            <control shapeId="40966" r:id="rId15" name="Drop Down 6">
              <controlPr defaultSize="0" autoLine="0" autoPict="0">
                <anchor moveWithCells="1">
                  <from>
                    <xdr:col>3</xdr:col>
                    <xdr:colOff>9525</xdr:colOff>
                    <xdr:row>22</xdr:row>
                    <xdr:rowOff>0</xdr:rowOff>
                  </from>
                  <to>
                    <xdr:col>6</xdr:col>
                    <xdr:colOff>790575</xdr:colOff>
                    <xdr:row>23</xdr:row>
                    <xdr:rowOff>0</xdr:rowOff>
                  </to>
                </anchor>
              </controlPr>
            </control>
          </mc:Choice>
        </mc:AlternateContent>
        <mc:AlternateContent xmlns:mc="http://schemas.openxmlformats.org/markup-compatibility/2006">
          <mc:Choice Requires="x14">
            <control shapeId="40967" r:id="rId16" name="Drop Down 7">
              <controlPr defaultSize="0" autoLine="0" autoPict="0">
                <anchor moveWithCells="1">
                  <from>
                    <xdr:col>3</xdr:col>
                    <xdr:colOff>9525</xdr:colOff>
                    <xdr:row>25</xdr:row>
                    <xdr:rowOff>9525</xdr:rowOff>
                  </from>
                  <to>
                    <xdr:col>6</xdr:col>
                    <xdr:colOff>800100</xdr:colOff>
                    <xdr:row>26</xdr:row>
                    <xdr:rowOff>0</xdr:rowOff>
                  </to>
                </anchor>
              </controlPr>
            </control>
          </mc:Choice>
        </mc:AlternateContent>
        <mc:AlternateContent xmlns:mc="http://schemas.openxmlformats.org/markup-compatibility/2006">
          <mc:Choice Requires="x14">
            <control shapeId="40968" r:id="rId17" name="Drop Down 8">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40969"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0982" r:id="rId19" name="Drop Down 22">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0983" r:id="rId20" name="Option Button 23">
              <controlPr locked="0" defaultSize="0" autoFill="0" autoLine="0" autoPict="0">
                <anchor moveWithCells="1">
                  <from>
                    <xdr:col>3</xdr:col>
                    <xdr:colOff>0</xdr:colOff>
                    <xdr:row>16</xdr:row>
                    <xdr:rowOff>190500</xdr:rowOff>
                  </from>
                  <to>
                    <xdr:col>4</xdr:col>
                    <xdr:colOff>171450</xdr:colOff>
                    <xdr:row>17</xdr:row>
                    <xdr:rowOff>190500</xdr:rowOff>
                  </to>
                </anchor>
              </controlPr>
            </control>
          </mc:Choice>
        </mc:AlternateContent>
        <mc:AlternateContent xmlns:mc="http://schemas.openxmlformats.org/markup-compatibility/2006">
          <mc:Choice Requires="x14">
            <control shapeId="40984" r:id="rId21" name="Option Button 24">
              <controlPr locked="0" defaultSize="0" autoFill="0" autoLine="0" autoPict="0">
                <anchor moveWithCells="1">
                  <from>
                    <xdr:col>3</xdr:col>
                    <xdr:colOff>0</xdr:colOff>
                    <xdr:row>18</xdr:row>
                    <xdr:rowOff>0</xdr:rowOff>
                  </from>
                  <to>
                    <xdr:col>5</xdr:col>
                    <xdr:colOff>142875</xdr:colOff>
                    <xdr:row>19</xdr:row>
                    <xdr:rowOff>9525</xdr:rowOff>
                  </to>
                </anchor>
              </controlPr>
            </control>
          </mc:Choice>
        </mc:AlternateContent>
      </controls>
    </mc:Choice>
  </mc:AlternateContent>
  <tableParts count="2">
    <tablePart r:id="rId22"/>
    <tablePart r:id="rId2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A118"/>
  <sheetViews>
    <sheetView showRuler="0" zoomScaleNormal="100" zoomScalePageLayoutView="115" workbookViewId="0">
      <selection activeCell="C19" sqref="C19"/>
    </sheetView>
  </sheetViews>
  <sheetFormatPr defaultRowHeight="15" x14ac:dyDescent="0.25"/>
  <cols>
    <col min="1" max="1" width="3.7109375" style="235" customWidth="1"/>
    <col min="2" max="2" width="12.85546875" style="235" bestFit="1" customWidth="1"/>
    <col min="3" max="3" width="11.140625" style="235" bestFit="1" customWidth="1"/>
    <col min="4" max="4" width="9.7109375" style="235" bestFit="1" customWidth="1"/>
    <col min="5" max="5" width="3" style="235" bestFit="1" customWidth="1"/>
    <col min="6" max="6" width="8.85546875" style="235" bestFit="1" customWidth="1"/>
    <col min="7" max="7" width="12.28515625" style="235" bestFit="1" customWidth="1"/>
    <col min="8" max="8" width="10.7109375" style="235" customWidth="1"/>
    <col min="9" max="9" width="15.855468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28515625" style="235" bestFit="1" customWidth="1"/>
    <col min="17" max="17" width="12.85546875" style="235" customWidth="1"/>
    <col min="18" max="18" width="9.28515625" style="316" bestFit="1" customWidth="1"/>
    <col min="19" max="19" width="9.85546875" style="316" bestFit="1" customWidth="1"/>
    <col min="20" max="20" width="10.7109375" style="235" customWidth="1"/>
    <col min="21" max="21" width="8" style="235" bestFit="1" customWidth="1"/>
    <col min="22" max="22" width="10" style="235" bestFit="1" customWidth="1"/>
    <col min="23" max="25" width="9.28515625" style="235" bestFit="1" customWidth="1"/>
    <col min="26" max="26" width="13.42578125" style="235" bestFit="1" customWidth="1"/>
    <col min="27"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4</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IF($J$19=Table47[[#This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IF($J$19=Table47[[#This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IF($J$19=Table47[[#This Row],[Block Size]],$L$19,0)</f>
        <v>0</v>
      </c>
      <c r="X32" s="239">
        <f t="shared" si="0"/>
        <v>0</v>
      </c>
      <c r="Y32" s="239">
        <v>6.5844E-2</v>
      </c>
      <c r="Z32" s="284"/>
      <c r="AA32" s="234"/>
    </row>
    <row r="33" spans="1:27" ht="15.75" thickBot="1" x14ac:dyDescent="0.3">
      <c r="B33" s="700" t="s">
        <v>40</v>
      </c>
      <c r="C33" s="701"/>
      <c r="D33" s="705">
        <f>ROUNDUP(Table47[[#Totals],[Concrete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IF($J$19=Table47[[#This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IF($J$19=Table47[[#This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IF($J$19=Table47[[#This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IF($J$19=Table47[[#This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IF($J$19=Table47[[#This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IF($J$19=Table47[[#This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IF($J$19=Table47[[#This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IF($J$20=Table47[[#This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IF($J$20=Table47[[#This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IF($J$20=Table47[[#This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IF($J$20=Table47[[#This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IF($J$20=Table47[[#This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IF($J$21=Table47[[#This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IF($J$21=Table47[[#This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IF($J$21=Table47[[#This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IF($J$22=Table47[[#This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IF($J$22=Table47[[#This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IF($J$23=Table47[[#This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IF($J$23=Table47[[#This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IF($J$20=Table47[[#This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IF($J$20=Table47[[#This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SUM(Table47[Concrete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400-000000000000}">
      <formula1>$H$18:$H$22</formula1>
    </dataValidation>
    <dataValidation allowBlank="1" showInputMessage="1" showErrorMessage="1" promptTitle="Length" prompt="Length in Feet" sqref="K12" xr:uid="{00000000-0002-0000-0400-000001000000}"/>
    <dataValidation allowBlank="1" showInputMessage="1" showErrorMessage="1" promptTitle="Width" prompt="Width in Feet" sqref="K13" xr:uid="{00000000-0002-0000-0400-000002000000}"/>
    <dataValidation allowBlank="1" showInputMessage="1" showErrorMessage="1" sqref="K7:L7" xr:uid="{00000000-0002-0000-0400-000003000000}"/>
    <dataValidation type="list" allowBlank="1" showInputMessage="1" showErrorMessage="1" sqref="F109" xr:uid="{00000000-0002-0000-0400-000004000000}">
      <formula1>$G$109:$G$114</formula1>
    </dataValidation>
    <dataValidation type="list" allowBlank="1" showInputMessage="1" showErrorMessage="1" sqref="F95 K95" xr:uid="{00000000-0002-0000-0400-000005000000}">
      <formula1>$H$95:$H$100</formula1>
    </dataValidation>
  </dataValidations>
  <hyperlinks>
    <hyperlink ref="F16:G16" r:id="rId1" display="Tamko TW-60" xr:uid="{00000000-0004-0000-0400-000000000000}"/>
    <hyperlink ref="F18:G18" r:id="rId2" display="DMX (DMX-244-20)" xr:uid="{00000000-0004-0000-0400-000001000000}"/>
    <hyperlink ref="B10:D10" r:id="rId3" display="Build Block" xr:uid="{00000000-0004-0000-0400-000002000000}"/>
    <hyperlink ref="J10:L10" r:id="rId4" display="Build Deck" xr:uid="{00000000-0004-0000-0400-000003000000}"/>
    <hyperlink ref="F22:G22" r:id="rId5" display="Custom Corner" xr:uid="{00000000-0004-0000-0400-000004000000}"/>
    <hyperlink ref="F25:G25" r:id="rId6" display="Custom Corner" xr:uid="{00000000-0004-0000-04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1985" r:id="rId10" name="Drop Down 1">
              <controlPr defaultSize="0" autoLine="0" autoPict="0">
                <anchor moveWithCells="1">
                  <from>
                    <xdr:col>2</xdr:col>
                    <xdr:colOff>9525</xdr:colOff>
                    <xdr:row>10</xdr:row>
                    <xdr:rowOff>9525</xdr:rowOff>
                  </from>
                  <to>
                    <xdr:col>3</xdr:col>
                    <xdr:colOff>619125</xdr:colOff>
                    <xdr:row>10</xdr:row>
                    <xdr:rowOff>190500</xdr:rowOff>
                  </to>
                </anchor>
              </controlPr>
            </control>
          </mc:Choice>
        </mc:AlternateContent>
        <mc:AlternateContent xmlns:mc="http://schemas.openxmlformats.org/markup-compatibility/2006">
          <mc:Choice Requires="x14">
            <control shapeId="41986" r:id="rId11" name="Drop Down 2">
              <controlPr defaultSize="0" autoLine="0" autoPict="0">
                <anchor moveWithCells="1">
                  <from>
                    <xdr:col>4</xdr:col>
                    <xdr:colOff>190500</xdr:colOff>
                    <xdr:row>9</xdr:row>
                    <xdr:rowOff>9525</xdr:rowOff>
                  </from>
                  <to>
                    <xdr:col>6</xdr:col>
                    <xdr:colOff>809625</xdr:colOff>
                    <xdr:row>10</xdr:row>
                    <xdr:rowOff>19050</xdr:rowOff>
                  </to>
                </anchor>
              </controlPr>
            </control>
          </mc:Choice>
        </mc:AlternateContent>
        <mc:AlternateContent xmlns:mc="http://schemas.openxmlformats.org/markup-compatibility/2006">
          <mc:Choice Requires="x14">
            <control shapeId="41987"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1988" r:id="rId13" name="Drop Down 4">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1989" r:id="rId14" name="Drop Down 5">
              <controlPr defaultSize="0" autoLine="0" autoPict="0">
                <anchor moveWithCells="1">
                  <from>
                    <xdr:col>3</xdr:col>
                    <xdr:colOff>9525</xdr:colOff>
                    <xdr:row>23</xdr:row>
                    <xdr:rowOff>180975</xdr:rowOff>
                  </from>
                  <to>
                    <xdr:col>4</xdr:col>
                    <xdr:colOff>190500</xdr:colOff>
                    <xdr:row>24</xdr:row>
                    <xdr:rowOff>180975</xdr:rowOff>
                  </to>
                </anchor>
              </controlPr>
            </control>
          </mc:Choice>
        </mc:AlternateContent>
        <mc:AlternateContent xmlns:mc="http://schemas.openxmlformats.org/markup-compatibility/2006">
          <mc:Choice Requires="x14">
            <control shapeId="41990" r:id="rId15" name="Drop Down 6">
              <controlPr defaultSize="0" autoLine="0" autoPict="0">
                <anchor moveWithCells="1">
                  <from>
                    <xdr:col>3</xdr:col>
                    <xdr:colOff>9525</xdr:colOff>
                    <xdr:row>22</xdr:row>
                    <xdr:rowOff>0</xdr:rowOff>
                  </from>
                  <to>
                    <xdr:col>6</xdr:col>
                    <xdr:colOff>790575</xdr:colOff>
                    <xdr:row>23</xdr:row>
                    <xdr:rowOff>0</xdr:rowOff>
                  </to>
                </anchor>
              </controlPr>
            </control>
          </mc:Choice>
        </mc:AlternateContent>
        <mc:AlternateContent xmlns:mc="http://schemas.openxmlformats.org/markup-compatibility/2006">
          <mc:Choice Requires="x14">
            <control shapeId="41991" r:id="rId16" name="Drop Down 7">
              <controlPr defaultSize="0" autoLine="0" autoPict="0">
                <anchor moveWithCells="1">
                  <from>
                    <xdr:col>3</xdr:col>
                    <xdr:colOff>9525</xdr:colOff>
                    <xdr:row>25</xdr:row>
                    <xdr:rowOff>9525</xdr:rowOff>
                  </from>
                  <to>
                    <xdr:col>6</xdr:col>
                    <xdr:colOff>800100</xdr:colOff>
                    <xdr:row>26</xdr:row>
                    <xdr:rowOff>0</xdr:rowOff>
                  </to>
                </anchor>
              </controlPr>
            </control>
          </mc:Choice>
        </mc:AlternateContent>
        <mc:AlternateContent xmlns:mc="http://schemas.openxmlformats.org/markup-compatibility/2006">
          <mc:Choice Requires="x14">
            <control shapeId="41992" r:id="rId17" name="Drop Down 8">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41993"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2006" r:id="rId19" name="Drop Down 22">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2007" r:id="rId20" name="Option Button 23">
              <controlPr locked="0" defaultSize="0" autoFill="0" autoLine="0" autoPict="0">
                <anchor moveWithCells="1">
                  <from>
                    <xdr:col>3</xdr:col>
                    <xdr:colOff>0</xdr:colOff>
                    <xdr:row>17</xdr:row>
                    <xdr:rowOff>0</xdr:rowOff>
                  </from>
                  <to>
                    <xdr:col>5</xdr:col>
                    <xdr:colOff>142875</xdr:colOff>
                    <xdr:row>18</xdr:row>
                    <xdr:rowOff>9525</xdr:rowOff>
                  </to>
                </anchor>
              </controlPr>
            </control>
          </mc:Choice>
        </mc:AlternateContent>
        <mc:AlternateContent xmlns:mc="http://schemas.openxmlformats.org/markup-compatibility/2006">
          <mc:Choice Requires="x14">
            <control shapeId="42008" r:id="rId21" name="Option Button 24">
              <controlPr locked="0" defaultSize="0" autoFill="0" autoLine="0" autoPict="0">
                <anchor moveWithCells="1">
                  <from>
                    <xdr:col>3</xdr:col>
                    <xdr:colOff>0</xdr:colOff>
                    <xdr:row>18</xdr:row>
                    <xdr:rowOff>9525</xdr:rowOff>
                  </from>
                  <to>
                    <xdr:col>5</xdr:col>
                    <xdr:colOff>142875</xdr:colOff>
                    <xdr:row>19</xdr:row>
                    <xdr:rowOff>19050</xdr:rowOff>
                  </to>
                </anchor>
              </controlPr>
            </control>
          </mc:Choice>
        </mc:AlternateContent>
      </controls>
    </mc:Choice>
  </mc:AlternateContent>
  <tableParts count="2">
    <tablePart r:id="rId22"/>
    <tablePart r:id="rId2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140625" style="235" bestFit="1" customWidth="1"/>
    <col min="4" max="4" width="9.7109375" style="235" bestFit="1" customWidth="1"/>
    <col min="5" max="5" width="3" style="235" bestFit="1" customWidth="1"/>
    <col min="6" max="6" width="8.85546875" style="235" bestFit="1" customWidth="1"/>
    <col min="7" max="7" width="12.28515625" style="235" bestFit="1" customWidth="1"/>
    <col min="8" max="8" width="10.7109375" style="235" customWidth="1"/>
    <col min="9" max="9" width="15.855468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28515625" style="235" bestFit="1" customWidth="1"/>
    <col min="17" max="17" width="12.85546875" style="235" customWidth="1"/>
    <col min="18" max="18" width="9.28515625" style="316" bestFit="1" customWidth="1"/>
    <col min="19" max="19" width="9.85546875" style="316" bestFit="1" customWidth="1"/>
    <col min="20" max="20" width="10.7109375" style="235" customWidth="1"/>
    <col min="21" max="21" width="8" style="235" bestFit="1" customWidth="1"/>
    <col min="22" max="22" width="10" style="235" bestFit="1" customWidth="1"/>
    <col min="23" max="25" width="9.28515625" style="235" bestFit="1" customWidth="1"/>
    <col min="26" max="26" width="13.42578125" style="235" bestFit="1" customWidth="1"/>
    <col min="27"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5</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IF($J$19=Table48[[#This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IF($J$19=Table48[[#This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IF($J$19=Table48[[#This Row],[Block Size]],$L$19,0)</f>
        <v>0</v>
      </c>
      <c r="X32" s="239">
        <f t="shared" si="0"/>
        <v>0</v>
      </c>
      <c r="Y32" s="239">
        <v>6.5844E-2</v>
      </c>
      <c r="Z32" s="284"/>
      <c r="AA32" s="234"/>
    </row>
    <row r="33" spans="1:27" ht="15.75" thickBot="1" x14ac:dyDescent="0.3">
      <c r="B33" s="700" t="s">
        <v>40</v>
      </c>
      <c r="C33" s="701"/>
      <c r="D33" s="705">
        <f>ROUNDUP(Table48[[#Totals],[Concrete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IF($J$19=Table48[[#This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IF($J$19=Table48[[#This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IF($J$19=Table48[[#This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IF($J$19=Table48[[#This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IF($J$19=Table48[[#This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IF($J$19=Table48[[#This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IF($J$19=Table48[[#This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IF($J$20=Table48[[#This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IF($J$20=Table48[[#This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IF($J$20=Table48[[#This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IF($J$20=Table48[[#This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IF($J$20=Table48[[#This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IF($J$21=Table48[[#This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IF($J$21=Table48[[#This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IF($J$21=Table48[[#This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IF($J$22=Table48[[#This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IF($J$22=Table48[[#This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IF($J$23=Table48[[#This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IF($J$23=Table48[[#This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IF($J$20=Table48[[#This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IF($J$20=Table48[[#This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SUM(Table48[Concrete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disablePrompts="1" count="6">
    <dataValidation type="list" allowBlank="1" showInputMessage="1" showErrorMessage="1" sqref="H29:H30" xr:uid="{00000000-0002-0000-0500-000000000000}">
      <formula1>$H$18:$H$22</formula1>
    </dataValidation>
    <dataValidation allowBlank="1" showInputMessage="1" showErrorMessage="1" promptTitle="Length" prompt="Length in Feet" sqref="K12" xr:uid="{00000000-0002-0000-0500-000001000000}"/>
    <dataValidation allowBlank="1" showInputMessage="1" showErrorMessage="1" promptTitle="Width" prompt="Width in Feet" sqref="K13" xr:uid="{00000000-0002-0000-0500-000002000000}"/>
    <dataValidation allowBlank="1" showInputMessage="1" showErrorMessage="1" sqref="K7:L7" xr:uid="{00000000-0002-0000-0500-000003000000}"/>
    <dataValidation type="list" allowBlank="1" showInputMessage="1" showErrorMessage="1" sqref="F109" xr:uid="{00000000-0002-0000-0500-000004000000}">
      <formula1>$G$109:$G$114</formula1>
    </dataValidation>
    <dataValidation type="list" allowBlank="1" showInputMessage="1" showErrorMessage="1" sqref="F95 K95" xr:uid="{00000000-0002-0000-0500-000005000000}">
      <formula1>$H$95:$H$100</formula1>
    </dataValidation>
  </dataValidations>
  <hyperlinks>
    <hyperlink ref="F16:G16" r:id="rId1" display="Tamko TW-60" xr:uid="{00000000-0004-0000-0500-000000000000}"/>
    <hyperlink ref="F18:G18" r:id="rId2" display="DMX (DMX-244-20)" xr:uid="{00000000-0004-0000-0500-000001000000}"/>
    <hyperlink ref="B10:D10" r:id="rId3" display="Build Block" xr:uid="{00000000-0004-0000-0500-000002000000}"/>
    <hyperlink ref="J10:L10" r:id="rId4" display="Build Deck" xr:uid="{00000000-0004-0000-0500-000003000000}"/>
    <hyperlink ref="F22:G22" r:id="rId5" display="Custom Corner" xr:uid="{00000000-0004-0000-0500-000004000000}"/>
    <hyperlink ref="F25:G25" r:id="rId6" display="Custom Corner" xr:uid="{00000000-0004-0000-05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4033" r:id="rId10" name="Drop Down 1">
              <controlPr defaultSize="0" autoLine="0" autoPict="0">
                <anchor moveWithCells="1">
                  <from>
                    <xdr:col>2</xdr:col>
                    <xdr:colOff>9525</xdr:colOff>
                    <xdr:row>10</xdr:row>
                    <xdr:rowOff>9525</xdr:rowOff>
                  </from>
                  <to>
                    <xdr:col>3</xdr:col>
                    <xdr:colOff>619125</xdr:colOff>
                    <xdr:row>10</xdr:row>
                    <xdr:rowOff>190500</xdr:rowOff>
                  </to>
                </anchor>
              </controlPr>
            </control>
          </mc:Choice>
        </mc:AlternateContent>
        <mc:AlternateContent xmlns:mc="http://schemas.openxmlformats.org/markup-compatibility/2006">
          <mc:Choice Requires="x14">
            <control shapeId="44034" r:id="rId11" name="Drop Down 2">
              <controlPr defaultSize="0" autoLine="0" autoPict="0">
                <anchor moveWithCells="1">
                  <from>
                    <xdr:col>4</xdr:col>
                    <xdr:colOff>190500</xdr:colOff>
                    <xdr:row>9</xdr:row>
                    <xdr:rowOff>9525</xdr:rowOff>
                  </from>
                  <to>
                    <xdr:col>6</xdr:col>
                    <xdr:colOff>809625</xdr:colOff>
                    <xdr:row>10</xdr:row>
                    <xdr:rowOff>19050</xdr:rowOff>
                  </to>
                </anchor>
              </controlPr>
            </control>
          </mc:Choice>
        </mc:AlternateContent>
        <mc:AlternateContent xmlns:mc="http://schemas.openxmlformats.org/markup-compatibility/2006">
          <mc:Choice Requires="x14">
            <control shapeId="44035"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4036" r:id="rId13" name="Drop Down 4">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4037" r:id="rId14" name="Drop Down 5">
              <controlPr defaultSize="0" autoLine="0" autoPict="0">
                <anchor moveWithCells="1">
                  <from>
                    <xdr:col>3</xdr:col>
                    <xdr:colOff>9525</xdr:colOff>
                    <xdr:row>23</xdr:row>
                    <xdr:rowOff>180975</xdr:rowOff>
                  </from>
                  <to>
                    <xdr:col>4</xdr:col>
                    <xdr:colOff>190500</xdr:colOff>
                    <xdr:row>24</xdr:row>
                    <xdr:rowOff>180975</xdr:rowOff>
                  </to>
                </anchor>
              </controlPr>
            </control>
          </mc:Choice>
        </mc:AlternateContent>
        <mc:AlternateContent xmlns:mc="http://schemas.openxmlformats.org/markup-compatibility/2006">
          <mc:Choice Requires="x14">
            <control shapeId="44038" r:id="rId15" name="Drop Down 6">
              <controlPr defaultSize="0" autoLine="0" autoPict="0">
                <anchor moveWithCells="1">
                  <from>
                    <xdr:col>3</xdr:col>
                    <xdr:colOff>9525</xdr:colOff>
                    <xdr:row>22</xdr:row>
                    <xdr:rowOff>0</xdr:rowOff>
                  </from>
                  <to>
                    <xdr:col>6</xdr:col>
                    <xdr:colOff>790575</xdr:colOff>
                    <xdr:row>23</xdr:row>
                    <xdr:rowOff>0</xdr:rowOff>
                  </to>
                </anchor>
              </controlPr>
            </control>
          </mc:Choice>
        </mc:AlternateContent>
        <mc:AlternateContent xmlns:mc="http://schemas.openxmlformats.org/markup-compatibility/2006">
          <mc:Choice Requires="x14">
            <control shapeId="44039" r:id="rId16" name="Drop Down 7">
              <controlPr defaultSize="0" autoLine="0" autoPict="0">
                <anchor moveWithCells="1">
                  <from>
                    <xdr:col>3</xdr:col>
                    <xdr:colOff>9525</xdr:colOff>
                    <xdr:row>25</xdr:row>
                    <xdr:rowOff>9525</xdr:rowOff>
                  </from>
                  <to>
                    <xdr:col>6</xdr:col>
                    <xdr:colOff>800100</xdr:colOff>
                    <xdr:row>26</xdr:row>
                    <xdr:rowOff>0</xdr:rowOff>
                  </to>
                </anchor>
              </controlPr>
            </control>
          </mc:Choice>
        </mc:AlternateContent>
        <mc:AlternateContent xmlns:mc="http://schemas.openxmlformats.org/markup-compatibility/2006">
          <mc:Choice Requires="x14">
            <control shapeId="44040" r:id="rId17" name="Drop Down 8">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44041"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4054" r:id="rId19" name="Drop Down 22">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4055" r:id="rId20" name="Option Button 23">
              <controlPr locked="0" defaultSize="0" autoFill="0" autoLine="0" autoPict="0">
                <anchor moveWithCells="1">
                  <from>
                    <xdr:col>3</xdr:col>
                    <xdr:colOff>0</xdr:colOff>
                    <xdr:row>16</xdr:row>
                    <xdr:rowOff>190500</xdr:rowOff>
                  </from>
                  <to>
                    <xdr:col>5</xdr:col>
                    <xdr:colOff>142875</xdr:colOff>
                    <xdr:row>18</xdr:row>
                    <xdr:rowOff>0</xdr:rowOff>
                  </to>
                </anchor>
              </controlPr>
            </control>
          </mc:Choice>
        </mc:AlternateContent>
        <mc:AlternateContent xmlns:mc="http://schemas.openxmlformats.org/markup-compatibility/2006">
          <mc:Choice Requires="x14">
            <control shapeId="44056" r:id="rId21" name="Option Button 24">
              <controlPr locked="0" defaultSize="0" autoFill="0" autoLine="0" autoPict="0">
                <anchor moveWithCells="1">
                  <from>
                    <xdr:col>3</xdr:col>
                    <xdr:colOff>0</xdr:colOff>
                    <xdr:row>18</xdr:row>
                    <xdr:rowOff>9525</xdr:rowOff>
                  </from>
                  <to>
                    <xdr:col>5</xdr:col>
                    <xdr:colOff>142875</xdr:colOff>
                    <xdr:row>19</xdr:row>
                    <xdr:rowOff>19050</xdr:rowOff>
                  </to>
                </anchor>
              </controlPr>
            </control>
          </mc:Choice>
        </mc:AlternateContent>
      </controls>
    </mc:Choice>
  </mc:AlternateContent>
  <tableParts count="2">
    <tablePart r:id="rId22"/>
    <tablePart r:id="rId2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140625" style="235" bestFit="1" customWidth="1"/>
    <col min="4" max="4" width="9.7109375" style="235" bestFit="1" customWidth="1"/>
    <col min="5" max="5" width="3" style="235" bestFit="1" customWidth="1"/>
    <col min="6" max="6" width="8.85546875" style="235" bestFit="1" customWidth="1"/>
    <col min="7" max="7" width="12.28515625" style="235" bestFit="1" customWidth="1"/>
    <col min="8" max="8" width="10.7109375" style="235" customWidth="1"/>
    <col min="9" max="9" width="15.855468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28515625" style="235" bestFit="1" customWidth="1"/>
    <col min="17" max="17" width="12.85546875" style="235" customWidth="1"/>
    <col min="18" max="18" width="9.28515625" style="316" bestFit="1" customWidth="1"/>
    <col min="19" max="19" width="9.85546875" style="316" bestFit="1" customWidth="1"/>
    <col min="20" max="20" width="10.7109375" style="235" customWidth="1"/>
    <col min="21" max="21" width="8" style="235" bestFit="1" customWidth="1"/>
    <col min="22" max="22" width="10" style="235" bestFit="1" customWidth="1"/>
    <col min="23" max="25" width="9.28515625" style="235" bestFit="1" customWidth="1"/>
    <col min="26" max="26" width="13.42578125" style="235" bestFit="1" customWidth="1"/>
    <col min="27"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6</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IF($J$19=Table49[[#This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IF($J$19=Table49[[#This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IF($J$19=Table49[[#This Row],[Block Size]],$L$19,0)</f>
        <v>0</v>
      </c>
      <c r="X32" s="239">
        <f t="shared" si="0"/>
        <v>0</v>
      </c>
      <c r="Y32" s="239">
        <v>6.5844E-2</v>
      </c>
      <c r="Z32" s="284"/>
      <c r="AA32" s="234"/>
    </row>
    <row r="33" spans="1:27" ht="15.75" thickBot="1" x14ac:dyDescent="0.3">
      <c r="B33" s="700" t="s">
        <v>40</v>
      </c>
      <c r="C33" s="701"/>
      <c r="D33" s="705">
        <f>ROUNDUP(Table49[[#Totals],[Concrete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IF($J$19=Table49[[#This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IF($J$19=Table49[[#This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IF($J$19=Table49[[#This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IF($J$19=Table49[[#This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IF($J$19=Table49[[#This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IF($J$19=Table49[[#This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IF($J$19=Table49[[#This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IF($J$20=Table49[[#This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IF($J$20=Table49[[#This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IF($J$20=Table49[[#This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IF($J$20=Table49[[#This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IF($J$20=Table49[[#This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IF($J$21=Table49[[#This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IF($J$21=Table49[[#This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IF($J$21=Table49[[#This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IF($J$22=Table49[[#This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IF($J$22=Table49[[#This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IF($J$23=Table49[[#This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IF($J$23=Table49[[#This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IF($J$20=Table49[[#This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IF($J$20=Table49[[#This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SUM(Table49[Concrete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600-000000000000}">
      <formula1>$H$18:$H$22</formula1>
    </dataValidation>
    <dataValidation allowBlank="1" showInputMessage="1" showErrorMessage="1" promptTitle="Length" prompt="Length in Feet" sqref="K12" xr:uid="{00000000-0002-0000-0600-000001000000}"/>
    <dataValidation allowBlank="1" showInputMessage="1" showErrorMessage="1" promptTitle="Width" prompt="Width in Feet" sqref="K13" xr:uid="{00000000-0002-0000-0600-000002000000}"/>
    <dataValidation allowBlank="1" showInputMessage="1" showErrorMessage="1" sqref="K7:L7" xr:uid="{00000000-0002-0000-0600-000003000000}"/>
    <dataValidation type="list" allowBlank="1" showInputMessage="1" showErrorMessage="1" sqref="F109" xr:uid="{00000000-0002-0000-0600-000004000000}">
      <formula1>$G$109:$G$114</formula1>
    </dataValidation>
    <dataValidation type="list" allowBlank="1" showInputMessage="1" showErrorMessage="1" sqref="F95 K95" xr:uid="{00000000-0002-0000-0600-000005000000}">
      <formula1>$H$95:$H$100</formula1>
    </dataValidation>
  </dataValidations>
  <hyperlinks>
    <hyperlink ref="F16:G16" r:id="rId1" display="Tamko TW-60" xr:uid="{00000000-0004-0000-0600-000000000000}"/>
    <hyperlink ref="F18:G18" r:id="rId2" display="DMX (DMX-244-20)" xr:uid="{00000000-0004-0000-0600-000001000000}"/>
    <hyperlink ref="B10:D10" r:id="rId3" display="Build Block" xr:uid="{00000000-0004-0000-0600-000002000000}"/>
    <hyperlink ref="J10:L10" r:id="rId4" display="Build Deck" xr:uid="{00000000-0004-0000-0600-000003000000}"/>
    <hyperlink ref="F22:G22" r:id="rId5" display="Custom Corner" xr:uid="{00000000-0004-0000-0600-000004000000}"/>
    <hyperlink ref="F25:G25" r:id="rId6" display="Custom Corner" xr:uid="{00000000-0004-0000-06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5057" r:id="rId10" name="Drop Down 1">
              <controlPr defaultSize="0" autoLine="0" autoPict="0">
                <anchor moveWithCells="1">
                  <from>
                    <xdr:col>2</xdr:col>
                    <xdr:colOff>9525</xdr:colOff>
                    <xdr:row>10</xdr:row>
                    <xdr:rowOff>9525</xdr:rowOff>
                  </from>
                  <to>
                    <xdr:col>3</xdr:col>
                    <xdr:colOff>619125</xdr:colOff>
                    <xdr:row>10</xdr:row>
                    <xdr:rowOff>190500</xdr:rowOff>
                  </to>
                </anchor>
              </controlPr>
            </control>
          </mc:Choice>
        </mc:AlternateContent>
        <mc:AlternateContent xmlns:mc="http://schemas.openxmlformats.org/markup-compatibility/2006">
          <mc:Choice Requires="x14">
            <control shapeId="45058" r:id="rId11" name="Drop Down 2">
              <controlPr defaultSize="0" autoLine="0" autoPict="0">
                <anchor moveWithCells="1">
                  <from>
                    <xdr:col>4</xdr:col>
                    <xdr:colOff>190500</xdr:colOff>
                    <xdr:row>9</xdr:row>
                    <xdr:rowOff>9525</xdr:rowOff>
                  </from>
                  <to>
                    <xdr:col>6</xdr:col>
                    <xdr:colOff>809625</xdr:colOff>
                    <xdr:row>10</xdr:row>
                    <xdr:rowOff>19050</xdr:rowOff>
                  </to>
                </anchor>
              </controlPr>
            </control>
          </mc:Choice>
        </mc:AlternateContent>
        <mc:AlternateContent xmlns:mc="http://schemas.openxmlformats.org/markup-compatibility/2006">
          <mc:Choice Requires="x14">
            <control shapeId="45059"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5060" r:id="rId13" name="Drop Down 4">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5061" r:id="rId14" name="Drop Down 5">
              <controlPr defaultSize="0" autoLine="0" autoPict="0">
                <anchor moveWithCells="1">
                  <from>
                    <xdr:col>3</xdr:col>
                    <xdr:colOff>9525</xdr:colOff>
                    <xdr:row>23</xdr:row>
                    <xdr:rowOff>180975</xdr:rowOff>
                  </from>
                  <to>
                    <xdr:col>4</xdr:col>
                    <xdr:colOff>190500</xdr:colOff>
                    <xdr:row>24</xdr:row>
                    <xdr:rowOff>180975</xdr:rowOff>
                  </to>
                </anchor>
              </controlPr>
            </control>
          </mc:Choice>
        </mc:AlternateContent>
        <mc:AlternateContent xmlns:mc="http://schemas.openxmlformats.org/markup-compatibility/2006">
          <mc:Choice Requires="x14">
            <control shapeId="45062" r:id="rId15" name="Drop Down 6">
              <controlPr defaultSize="0" autoLine="0" autoPict="0">
                <anchor moveWithCells="1">
                  <from>
                    <xdr:col>3</xdr:col>
                    <xdr:colOff>9525</xdr:colOff>
                    <xdr:row>22</xdr:row>
                    <xdr:rowOff>0</xdr:rowOff>
                  </from>
                  <to>
                    <xdr:col>6</xdr:col>
                    <xdr:colOff>790575</xdr:colOff>
                    <xdr:row>23</xdr:row>
                    <xdr:rowOff>0</xdr:rowOff>
                  </to>
                </anchor>
              </controlPr>
            </control>
          </mc:Choice>
        </mc:AlternateContent>
        <mc:AlternateContent xmlns:mc="http://schemas.openxmlformats.org/markup-compatibility/2006">
          <mc:Choice Requires="x14">
            <control shapeId="45063" r:id="rId16" name="Drop Down 7">
              <controlPr defaultSize="0" autoLine="0" autoPict="0">
                <anchor moveWithCells="1">
                  <from>
                    <xdr:col>3</xdr:col>
                    <xdr:colOff>9525</xdr:colOff>
                    <xdr:row>25</xdr:row>
                    <xdr:rowOff>9525</xdr:rowOff>
                  </from>
                  <to>
                    <xdr:col>6</xdr:col>
                    <xdr:colOff>800100</xdr:colOff>
                    <xdr:row>26</xdr:row>
                    <xdr:rowOff>0</xdr:rowOff>
                  </to>
                </anchor>
              </controlPr>
            </control>
          </mc:Choice>
        </mc:AlternateContent>
        <mc:AlternateContent xmlns:mc="http://schemas.openxmlformats.org/markup-compatibility/2006">
          <mc:Choice Requires="x14">
            <control shapeId="45064" r:id="rId17" name="Drop Down 8">
              <controlPr defaultSize="0" autoLine="0" autoPict="0">
                <anchor moveWithCells="1">
                  <from>
                    <xdr:col>5</xdr:col>
                    <xdr:colOff>0</xdr:colOff>
                    <xdr:row>18</xdr:row>
                    <xdr:rowOff>180975</xdr:rowOff>
                  </from>
                  <to>
                    <xdr:col>6</xdr:col>
                    <xdr:colOff>809625</xdr:colOff>
                    <xdr:row>20</xdr:row>
                    <xdr:rowOff>0</xdr:rowOff>
                  </to>
                </anchor>
              </controlPr>
            </control>
          </mc:Choice>
        </mc:AlternateContent>
        <mc:AlternateContent xmlns:mc="http://schemas.openxmlformats.org/markup-compatibility/2006">
          <mc:Choice Requires="x14">
            <control shapeId="45065"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5078" r:id="rId19" name="Drop Down 22">
              <controlPr defaultSize="0" autoLine="0" autoPict="0">
                <anchor moveWithCells="1">
                  <from>
                    <xdr:col>3</xdr:col>
                    <xdr:colOff>9525</xdr:colOff>
                    <xdr:row>20</xdr:row>
                    <xdr:rowOff>190500</xdr:rowOff>
                  </from>
                  <to>
                    <xdr:col>4</xdr:col>
                    <xdr:colOff>190500</xdr:colOff>
                    <xdr:row>21</xdr:row>
                    <xdr:rowOff>190500</xdr:rowOff>
                  </to>
                </anchor>
              </controlPr>
            </control>
          </mc:Choice>
        </mc:AlternateContent>
        <mc:AlternateContent xmlns:mc="http://schemas.openxmlformats.org/markup-compatibility/2006">
          <mc:Choice Requires="x14">
            <control shapeId="45079" r:id="rId20" name="Option Button 23">
              <controlPr locked="0" defaultSize="0" autoFill="0" autoLine="0" autoPict="0">
                <anchor moveWithCells="1">
                  <from>
                    <xdr:col>3</xdr:col>
                    <xdr:colOff>0</xdr:colOff>
                    <xdr:row>17</xdr:row>
                    <xdr:rowOff>0</xdr:rowOff>
                  </from>
                  <to>
                    <xdr:col>5</xdr:col>
                    <xdr:colOff>142875</xdr:colOff>
                    <xdr:row>18</xdr:row>
                    <xdr:rowOff>9525</xdr:rowOff>
                  </to>
                </anchor>
              </controlPr>
            </control>
          </mc:Choice>
        </mc:AlternateContent>
        <mc:AlternateContent xmlns:mc="http://schemas.openxmlformats.org/markup-compatibility/2006">
          <mc:Choice Requires="x14">
            <control shapeId="45080" r:id="rId21" name="Option Button 24">
              <controlPr locked="0" defaultSize="0" autoFill="0" autoLine="0" autoPict="0">
                <anchor moveWithCells="1">
                  <from>
                    <xdr:col>3</xdr:col>
                    <xdr:colOff>9525</xdr:colOff>
                    <xdr:row>18</xdr:row>
                    <xdr:rowOff>9525</xdr:rowOff>
                  </from>
                  <to>
                    <xdr:col>5</xdr:col>
                    <xdr:colOff>152400</xdr:colOff>
                    <xdr:row>19</xdr:row>
                    <xdr:rowOff>19050</xdr:rowOff>
                  </to>
                </anchor>
              </controlPr>
            </control>
          </mc:Choice>
        </mc:AlternateContent>
      </controls>
    </mc:Choice>
  </mc:AlternateContent>
  <tableParts count="2">
    <tablePart r:id="rId22"/>
    <tablePart r:id="rId2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 style="235" bestFit="1" customWidth="1"/>
    <col min="4" max="4" width="9.5703125" style="235" bestFit="1" customWidth="1"/>
    <col min="5" max="5" width="3" style="235" bestFit="1" customWidth="1"/>
    <col min="6" max="6" width="8.7109375" style="235" bestFit="1" customWidth="1"/>
    <col min="7" max="7" width="12.140625" style="235" bestFit="1" customWidth="1"/>
    <col min="8" max="8" width="10.7109375" style="235" customWidth="1"/>
    <col min="9" max="9" width="15.71093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140625" style="235"/>
    <col min="17" max="17" width="12.85546875" style="235" customWidth="1"/>
    <col min="18" max="18" width="9.140625" style="316"/>
    <col min="19" max="19" width="9.7109375" style="316" bestFit="1" customWidth="1"/>
    <col min="20" max="20" width="10.7109375" style="235" customWidth="1"/>
    <col min="21" max="21" width="7.85546875" style="235" bestFit="1" customWidth="1"/>
    <col min="22" max="22" width="9.85546875" style="235" bestFit="1" customWidth="1"/>
    <col min="23"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7</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IF($J$19=Table410[[#This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IF($J$19=Table410[[#This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IF($J$19=Table410[[#This Row],[Block Size]],$L$19,0)</f>
        <v>0</v>
      </c>
      <c r="X32" s="239">
        <f t="shared" si="0"/>
        <v>0</v>
      </c>
      <c r="Y32" s="239">
        <v>6.5844E-2</v>
      </c>
      <c r="Z32" s="284"/>
      <c r="AA32" s="234"/>
    </row>
    <row r="33" spans="1:27" ht="15.75" thickBot="1" x14ac:dyDescent="0.3">
      <c r="B33" s="700" t="s">
        <v>40</v>
      </c>
      <c r="C33" s="701"/>
      <c r="D33" s="705">
        <f>ROUNDUP(Table410[[#Totals],[Concrete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IF($J$19=Table410[[#This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IF($J$19=Table410[[#This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IF($J$19=Table410[[#This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IF($J$19=Table410[[#This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IF($J$19=Table410[[#This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IF($J$19=Table410[[#This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IF($J$19=Table410[[#This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IF($J$20=Table410[[#This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IF($J$20=Table410[[#This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IF($J$20=Table410[[#This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IF($J$20=Table410[[#This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IF($J$20=Table410[[#This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IF($J$21=Table410[[#This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IF($J$21=Table410[[#This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IF($J$21=Table410[[#This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IF($J$22=Table410[[#This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IF($J$22=Table410[[#This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IF($J$23=Table410[[#This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IF($J$23=Table410[[#This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IF($J$20=Table410[[#This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IF($J$20=Table410[[#This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SUM(Table410[Concrete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700-000000000000}">
      <formula1>$H$18:$H$22</formula1>
    </dataValidation>
    <dataValidation allowBlank="1" showInputMessage="1" showErrorMessage="1" promptTitle="Length" prompt="Length in Feet" sqref="K12" xr:uid="{00000000-0002-0000-0700-000001000000}"/>
    <dataValidation allowBlank="1" showInputMessage="1" showErrorMessage="1" promptTitle="Width" prompt="Width in Feet" sqref="K13" xr:uid="{00000000-0002-0000-0700-000002000000}"/>
    <dataValidation allowBlank="1" showInputMessage="1" showErrorMessage="1" sqref="K7:L7" xr:uid="{00000000-0002-0000-0700-000003000000}"/>
    <dataValidation type="list" allowBlank="1" showInputMessage="1" showErrorMessage="1" sqref="F109" xr:uid="{00000000-0002-0000-0700-000004000000}">
      <formula1>$G$109:$G$114</formula1>
    </dataValidation>
    <dataValidation type="list" allowBlank="1" showInputMessage="1" showErrorMessage="1" sqref="F95 K95" xr:uid="{00000000-0002-0000-0700-000005000000}">
      <formula1>$H$95:$H$100</formula1>
    </dataValidation>
  </dataValidations>
  <hyperlinks>
    <hyperlink ref="F16:G16" r:id="rId1" display="Tamko TW-60" xr:uid="{00000000-0004-0000-0700-000000000000}"/>
    <hyperlink ref="F18:G18" r:id="rId2" display="DMX (DMX-244-20)" xr:uid="{00000000-0004-0000-0700-000001000000}"/>
    <hyperlink ref="B10:D10" r:id="rId3" display="Build Block" xr:uid="{00000000-0004-0000-0700-000002000000}"/>
    <hyperlink ref="J10:L10" r:id="rId4" display="Build Deck" xr:uid="{00000000-0004-0000-0700-000003000000}"/>
    <hyperlink ref="F22:G22" r:id="rId5" display="Custom Corner" xr:uid="{00000000-0004-0000-0700-000004000000}"/>
    <hyperlink ref="F25:G25" r:id="rId6" display="Custom Corner" xr:uid="{00000000-0004-0000-07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6081" r:id="rId10" name="Drop Down 1">
              <controlPr defaultSize="0" autoLine="0" autoPict="0">
                <anchor moveWithCells="1">
                  <from>
                    <xdr:col>2</xdr:col>
                    <xdr:colOff>9525</xdr:colOff>
                    <xdr:row>10</xdr:row>
                    <xdr:rowOff>9525</xdr:rowOff>
                  </from>
                  <to>
                    <xdr:col>4</xdr:col>
                    <xdr:colOff>0</xdr:colOff>
                    <xdr:row>10</xdr:row>
                    <xdr:rowOff>190500</xdr:rowOff>
                  </to>
                </anchor>
              </controlPr>
            </control>
          </mc:Choice>
        </mc:AlternateContent>
        <mc:AlternateContent xmlns:mc="http://schemas.openxmlformats.org/markup-compatibility/2006">
          <mc:Choice Requires="x14">
            <control shapeId="46082" r:id="rId11" name="Drop Down 2">
              <controlPr defaultSize="0" autoLine="0" autoPict="0">
                <anchor moveWithCells="1">
                  <from>
                    <xdr:col>4</xdr:col>
                    <xdr:colOff>190500</xdr:colOff>
                    <xdr:row>9</xdr:row>
                    <xdr:rowOff>9525</xdr:rowOff>
                  </from>
                  <to>
                    <xdr:col>7</xdr:col>
                    <xdr:colOff>0</xdr:colOff>
                    <xdr:row>10</xdr:row>
                    <xdr:rowOff>19050</xdr:rowOff>
                  </to>
                </anchor>
              </controlPr>
            </control>
          </mc:Choice>
        </mc:AlternateContent>
        <mc:AlternateContent xmlns:mc="http://schemas.openxmlformats.org/markup-compatibility/2006">
          <mc:Choice Requires="x14">
            <control shapeId="46083"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6084" r:id="rId13" name="Drop Down 4">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6085" r:id="rId14" name="Drop Down 5">
              <controlPr defaultSize="0" autoLine="0" autoPict="0">
                <anchor moveWithCells="1">
                  <from>
                    <xdr:col>3</xdr:col>
                    <xdr:colOff>9525</xdr:colOff>
                    <xdr:row>23</xdr:row>
                    <xdr:rowOff>180975</xdr:rowOff>
                  </from>
                  <to>
                    <xdr:col>5</xdr:col>
                    <xdr:colOff>0</xdr:colOff>
                    <xdr:row>24</xdr:row>
                    <xdr:rowOff>180975</xdr:rowOff>
                  </to>
                </anchor>
              </controlPr>
            </control>
          </mc:Choice>
        </mc:AlternateContent>
        <mc:AlternateContent xmlns:mc="http://schemas.openxmlformats.org/markup-compatibility/2006">
          <mc:Choice Requires="x14">
            <control shapeId="46086" r:id="rId15" name="Drop Down 6">
              <controlPr defaultSize="0" autoLine="0" autoPict="0">
                <anchor moveWithCells="1">
                  <from>
                    <xdr:col>3</xdr:col>
                    <xdr:colOff>9525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6087" r:id="rId16" name="Drop Down 7">
              <controlPr defaultSize="0" autoLine="0" autoPict="0">
                <anchor moveWithCells="1">
                  <from>
                    <xdr:col>3</xdr:col>
                    <xdr:colOff>9525</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46088" r:id="rId17" name="Drop Down 8">
              <controlPr defaultSize="0" autoLine="0" autoPict="0">
                <anchor moveWithCells="1">
                  <from>
                    <xdr:col>5</xdr:col>
                    <xdr:colOff>0</xdr:colOff>
                    <xdr:row>18</xdr:row>
                    <xdr:rowOff>180975</xdr:rowOff>
                  </from>
                  <to>
                    <xdr:col>7</xdr:col>
                    <xdr:colOff>0</xdr:colOff>
                    <xdr:row>20</xdr:row>
                    <xdr:rowOff>0</xdr:rowOff>
                  </to>
                </anchor>
              </controlPr>
            </control>
          </mc:Choice>
        </mc:AlternateContent>
        <mc:AlternateContent xmlns:mc="http://schemas.openxmlformats.org/markup-compatibility/2006">
          <mc:Choice Requires="x14">
            <control shapeId="46089"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6102" r:id="rId19" name="Drop Down 22">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6103" r:id="rId20" name="Option Button 23">
              <controlPr locked="0" defaultSize="0" autoFill="0" autoLine="0" autoPict="0">
                <anchor moveWithCells="1">
                  <from>
                    <xdr:col>3</xdr:col>
                    <xdr:colOff>9525</xdr:colOff>
                    <xdr:row>16</xdr:row>
                    <xdr:rowOff>190500</xdr:rowOff>
                  </from>
                  <to>
                    <xdr:col>5</xdr:col>
                    <xdr:colOff>171450</xdr:colOff>
                    <xdr:row>18</xdr:row>
                    <xdr:rowOff>0</xdr:rowOff>
                  </to>
                </anchor>
              </controlPr>
            </control>
          </mc:Choice>
        </mc:AlternateContent>
        <mc:AlternateContent xmlns:mc="http://schemas.openxmlformats.org/markup-compatibility/2006">
          <mc:Choice Requires="x14">
            <control shapeId="46104" r:id="rId21" name="Option Button 24">
              <controlPr locked="0" defaultSize="0" autoFill="0" autoLine="0" autoPict="0">
                <anchor moveWithCells="1">
                  <from>
                    <xdr:col>3</xdr:col>
                    <xdr:colOff>0</xdr:colOff>
                    <xdr:row>18</xdr:row>
                    <xdr:rowOff>0</xdr:rowOff>
                  </from>
                  <to>
                    <xdr:col>5</xdr:col>
                    <xdr:colOff>161925</xdr:colOff>
                    <xdr:row>19</xdr:row>
                    <xdr:rowOff>9525</xdr:rowOff>
                  </to>
                </anchor>
              </controlPr>
            </control>
          </mc:Choice>
        </mc:AlternateContent>
      </controls>
    </mc:Choice>
  </mc:AlternateContent>
  <tableParts count="2">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 style="235" bestFit="1" customWidth="1"/>
    <col min="4" max="4" width="9.5703125" style="235" bestFit="1" customWidth="1"/>
    <col min="5" max="5" width="3" style="235" bestFit="1" customWidth="1"/>
    <col min="6" max="6" width="8.7109375" style="235" bestFit="1" customWidth="1"/>
    <col min="7" max="7" width="12.140625" style="235" bestFit="1" customWidth="1"/>
    <col min="8" max="8" width="10.7109375" style="235" customWidth="1"/>
    <col min="9" max="9" width="15.71093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140625" style="235"/>
    <col min="17" max="17" width="12.85546875" style="235" customWidth="1"/>
    <col min="18" max="18" width="9.140625" style="316"/>
    <col min="19" max="19" width="9.7109375" style="316" bestFit="1" customWidth="1"/>
    <col min="20" max="20" width="10.7109375" style="235" customWidth="1"/>
    <col min="21" max="21" width="7.85546875" style="235" bestFit="1" customWidth="1"/>
    <col min="22" max="22" width="9.85546875" style="235" bestFit="1" customWidth="1"/>
    <col min="23"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8</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IF($J$19=Table411[[#This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IF($J$19=Table411[[#This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IF($J$19=Table411[[#This Row],[Block Size]],$L$19,0)</f>
        <v>0</v>
      </c>
      <c r="X32" s="239">
        <f t="shared" si="0"/>
        <v>0</v>
      </c>
      <c r="Y32" s="239">
        <v>6.5844E-2</v>
      </c>
      <c r="Z32" s="284"/>
      <c r="AA32" s="234"/>
    </row>
    <row r="33" spans="1:27" ht="15.75" thickBot="1" x14ac:dyDescent="0.3">
      <c r="B33" s="700" t="s">
        <v>40</v>
      </c>
      <c r="C33" s="701"/>
      <c r="D33" s="705">
        <f>ROUNDUP(Table411[[#Totals],[Concrete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IF($J$19=Table411[[#This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IF($J$19=Table411[[#This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IF($J$19=Table411[[#This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IF($J$19=Table411[[#This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IF($J$19=Table411[[#This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IF($J$19=Table411[[#This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IF($J$19=Table411[[#This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IF($J$20=Table411[[#This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IF($J$20=Table411[[#This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IF($J$20=Table411[[#This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IF($J$20=Table411[[#This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IF($J$20=Table411[[#This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IF($J$21=Table411[[#This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IF($J$21=Table411[[#This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IF($J$21=Table411[[#This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IF($J$22=Table411[[#This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IF($J$22=Table411[[#This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IF($J$23=Table411[[#This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IF($J$23=Table411[[#This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IF($J$20=Table411[[#This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IF($J$20=Table411[[#This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SUM(Table411[Concrete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800-000000000000}">
      <formula1>$H$18:$H$22</formula1>
    </dataValidation>
    <dataValidation allowBlank="1" showInputMessage="1" showErrorMessage="1" promptTitle="Length" prompt="Length in Feet" sqref="K12" xr:uid="{00000000-0002-0000-0800-000001000000}"/>
    <dataValidation allowBlank="1" showInputMessage="1" showErrorMessage="1" promptTitle="Width" prompt="Width in Feet" sqref="K13" xr:uid="{00000000-0002-0000-0800-000002000000}"/>
    <dataValidation allowBlank="1" showInputMessage="1" showErrorMessage="1" sqref="K7:L7" xr:uid="{00000000-0002-0000-0800-000003000000}"/>
    <dataValidation type="list" allowBlank="1" showInputMessage="1" showErrorMessage="1" sqref="F109" xr:uid="{00000000-0002-0000-0800-000004000000}">
      <formula1>$G$109:$G$114</formula1>
    </dataValidation>
    <dataValidation type="list" allowBlank="1" showInputMessage="1" showErrorMessage="1" sqref="F95 K95" xr:uid="{00000000-0002-0000-0800-000005000000}">
      <formula1>$H$95:$H$100</formula1>
    </dataValidation>
  </dataValidations>
  <hyperlinks>
    <hyperlink ref="F16:G16" r:id="rId1" display="Tamko TW-60" xr:uid="{00000000-0004-0000-0800-000000000000}"/>
    <hyperlink ref="F18:G18" r:id="rId2" display="DMX (DMX-244-20)" xr:uid="{00000000-0004-0000-0800-000001000000}"/>
    <hyperlink ref="B10:D10" r:id="rId3" display="Build Block" xr:uid="{00000000-0004-0000-0800-000002000000}"/>
    <hyperlink ref="J10:L10" r:id="rId4" display="Build Deck" xr:uid="{00000000-0004-0000-0800-000003000000}"/>
    <hyperlink ref="F22:G22" r:id="rId5" display="Custom Corner" xr:uid="{00000000-0004-0000-0800-000004000000}"/>
    <hyperlink ref="F25:G25" r:id="rId6" display="Custom Corner" xr:uid="{00000000-0004-0000-08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7105" r:id="rId10" name="Drop Down 1">
              <controlPr defaultSize="0" autoLine="0" autoPict="0">
                <anchor moveWithCells="1">
                  <from>
                    <xdr:col>2</xdr:col>
                    <xdr:colOff>9525</xdr:colOff>
                    <xdr:row>10</xdr:row>
                    <xdr:rowOff>9525</xdr:rowOff>
                  </from>
                  <to>
                    <xdr:col>4</xdr:col>
                    <xdr:colOff>0</xdr:colOff>
                    <xdr:row>10</xdr:row>
                    <xdr:rowOff>190500</xdr:rowOff>
                  </to>
                </anchor>
              </controlPr>
            </control>
          </mc:Choice>
        </mc:AlternateContent>
        <mc:AlternateContent xmlns:mc="http://schemas.openxmlformats.org/markup-compatibility/2006">
          <mc:Choice Requires="x14">
            <control shapeId="47106" r:id="rId11" name="Drop Down 2">
              <controlPr defaultSize="0" autoLine="0" autoPict="0">
                <anchor moveWithCells="1">
                  <from>
                    <xdr:col>4</xdr:col>
                    <xdr:colOff>190500</xdr:colOff>
                    <xdr:row>9</xdr:row>
                    <xdr:rowOff>9525</xdr:rowOff>
                  </from>
                  <to>
                    <xdr:col>7</xdr:col>
                    <xdr:colOff>0</xdr:colOff>
                    <xdr:row>10</xdr:row>
                    <xdr:rowOff>19050</xdr:rowOff>
                  </to>
                </anchor>
              </controlPr>
            </control>
          </mc:Choice>
        </mc:AlternateContent>
        <mc:AlternateContent xmlns:mc="http://schemas.openxmlformats.org/markup-compatibility/2006">
          <mc:Choice Requires="x14">
            <control shapeId="47107"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7108" r:id="rId13" name="Drop Down 4">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7109" r:id="rId14" name="Drop Down 5">
              <controlPr defaultSize="0" autoLine="0" autoPict="0">
                <anchor moveWithCells="1">
                  <from>
                    <xdr:col>3</xdr:col>
                    <xdr:colOff>9525</xdr:colOff>
                    <xdr:row>23</xdr:row>
                    <xdr:rowOff>180975</xdr:rowOff>
                  </from>
                  <to>
                    <xdr:col>5</xdr:col>
                    <xdr:colOff>0</xdr:colOff>
                    <xdr:row>24</xdr:row>
                    <xdr:rowOff>180975</xdr:rowOff>
                  </to>
                </anchor>
              </controlPr>
            </control>
          </mc:Choice>
        </mc:AlternateContent>
        <mc:AlternateContent xmlns:mc="http://schemas.openxmlformats.org/markup-compatibility/2006">
          <mc:Choice Requires="x14">
            <control shapeId="47110" r:id="rId15" name="Drop Down 6">
              <controlPr defaultSize="0" autoLine="0" autoPict="0">
                <anchor moveWithCells="1">
                  <from>
                    <xdr:col>3</xdr:col>
                    <xdr:colOff>9525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7111" r:id="rId16" name="Drop Down 7">
              <controlPr defaultSize="0" autoLine="0" autoPict="0">
                <anchor moveWithCells="1">
                  <from>
                    <xdr:col>3</xdr:col>
                    <xdr:colOff>9525</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47112" r:id="rId17" name="Drop Down 8">
              <controlPr defaultSize="0" autoLine="0" autoPict="0">
                <anchor moveWithCells="1">
                  <from>
                    <xdr:col>5</xdr:col>
                    <xdr:colOff>0</xdr:colOff>
                    <xdr:row>18</xdr:row>
                    <xdr:rowOff>180975</xdr:rowOff>
                  </from>
                  <to>
                    <xdr:col>7</xdr:col>
                    <xdr:colOff>0</xdr:colOff>
                    <xdr:row>20</xdr:row>
                    <xdr:rowOff>0</xdr:rowOff>
                  </to>
                </anchor>
              </controlPr>
            </control>
          </mc:Choice>
        </mc:AlternateContent>
        <mc:AlternateContent xmlns:mc="http://schemas.openxmlformats.org/markup-compatibility/2006">
          <mc:Choice Requires="x14">
            <control shapeId="47113"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7126" r:id="rId19" name="Drop Down 22">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7127" r:id="rId20" name="Option Button 23">
              <controlPr locked="0" defaultSize="0" autoFill="0" autoLine="0" autoPict="0">
                <anchor moveWithCells="1">
                  <from>
                    <xdr:col>3</xdr:col>
                    <xdr:colOff>0</xdr:colOff>
                    <xdr:row>17</xdr:row>
                    <xdr:rowOff>0</xdr:rowOff>
                  </from>
                  <to>
                    <xdr:col>5</xdr:col>
                    <xdr:colOff>161925</xdr:colOff>
                    <xdr:row>18</xdr:row>
                    <xdr:rowOff>9525</xdr:rowOff>
                  </to>
                </anchor>
              </controlPr>
            </control>
          </mc:Choice>
        </mc:AlternateContent>
        <mc:AlternateContent xmlns:mc="http://schemas.openxmlformats.org/markup-compatibility/2006">
          <mc:Choice Requires="x14">
            <control shapeId="47128" r:id="rId21" name="Option Button 24">
              <controlPr locked="0" defaultSize="0" autoFill="0" autoLine="0" autoPict="0">
                <anchor moveWithCells="1">
                  <from>
                    <xdr:col>2</xdr:col>
                    <xdr:colOff>723900</xdr:colOff>
                    <xdr:row>18</xdr:row>
                    <xdr:rowOff>9525</xdr:rowOff>
                  </from>
                  <to>
                    <xdr:col>5</xdr:col>
                    <xdr:colOff>152400</xdr:colOff>
                    <xdr:row>19</xdr:row>
                    <xdr:rowOff>19050</xdr:rowOff>
                  </to>
                </anchor>
              </controlPr>
            </control>
          </mc:Choice>
        </mc:AlternateContent>
      </controls>
    </mc:Choice>
  </mc:AlternateContent>
  <tableParts count="2">
    <tablePart r:id="rId22"/>
    <tablePart r:id="rId2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 style="235" bestFit="1" customWidth="1"/>
    <col min="4" max="4" width="9.5703125" style="235" bestFit="1" customWidth="1"/>
    <col min="5" max="5" width="3" style="235" bestFit="1" customWidth="1"/>
    <col min="6" max="6" width="8.7109375" style="235" bestFit="1" customWidth="1"/>
    <col min="7" max="7" width="12.140625" style="235" bestFit="1" customWidth="1"/>
    <col min="8" max="8" width="10.7109375" style="235" customWidth="1"/>
    <col min="9" max="9" width="15.71093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140625" style="235"/>
    <col min="17" max="17" width="12.85546875" style="235" customWidth="1"/>
    <col min="18" max="18" width="9.140625" style="316"/>
    <col min="19" max="19" width="9.7109375" style="316" bestFit="1" customWidth="1"/>
    <col min="20" max="20" width="10.7109375" style="235" customWidth="1"/>
    <col min="21" max="21" width="7.85546875" style="235" bestFit="1" customWidth="1"/>
    <col min="22" max="22" width="9.85546875" style="235" bestFit="1" customWidth="1"/>
    <col min="23"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9</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IF($J$19=Table412[[#This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IF($J$19=Table412[[#This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IF($J$19=Table412[[#This Row],[Block Size]],$L$19,0)</f>
        <v>0</v>
      </c>
      <c r="X32" s="239">
        <f t="shared" si="0"/>
        <v>0</v>
      </c>
      <c r="Y32" s="239">
        <v>6.5844E-2</v>
      </c>
      <c r="Z32" s="284"/>
      <c r="AA32" s="234"/>
    </row>
    <row r="33" spans="1:27" ht="15.75" thickBot="1" x14ac:dyDescent="0.3">
      <c r="B33" s="700" t="s">
        <v>40</v>
      </c>
      <c r="C33" s="701"/>
      <c r="D33" s="705">
        <f>ROUNDUP(Table412[[#Totals],[Concrete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IF($J$19=Table412[[#This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IF($J$19=Table412[[#This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IF($J$19=Table412[[#This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IF($J$19=Table412[[#This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IF($J$19=Table412[[#This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IF($J$19=Table412[[#This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IF($J$19=Table412[[#This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IF($J$20=Table412[[#This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IF($J$20=Table412[[#This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IF($J$20=Table412[[#This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IF($J$20=Table412[[#This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IF($J$20=Table412[[#This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IF($J$21=Table412[[#This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IF($J$21=Table412[[#This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IF($J$21=Table412[[#This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IF($J$22=Table412[[#This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IF($J$22=Table412[[#This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IF($J$23=Table412[[#This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IF($J$23=Table412[[#This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IF($J$20=Table412[[#This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IF($J$20=Table412[[#This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SUM(Table412[Concrete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900-000000000000}">
      <formula1>$H$18:$H$22</formula1>
    </dataValidation>
    <dataValidation allowBlank="1" showInputMessage="1" showErrorMessage="1" promptTitle="Length" prompt="Length in Feet" sqref="K12" xr:uid="{00000000-0002-0000-0900-000001000000}"/>
    <dataValidation allowBlank="1" showInputMessage="1" showErrorMessage="1" promptTitle="Width" prompt="Width in Feet" sqref="K13" xr:uid="{00000000-0002-0000-0900-000002000000}"/>
    <dataValidation allowBlank="1" showInputMessage="1" showErrorMessage="1" sqref="K7:L7" xr:uid="{00000000-0002-0000-0900-000003000000}"/>
    <dataValidation type="list" allowBlank="1" showInputMessage="1" showErrorMessage="1" sqref="F109" xr:uid="{00000000-0002-0000-0900-000004000000}">
      <formula1>$G$109:$G$114</formula1>
    </dataValidation>
    <dataValidation type="list" allowBlank="1" showInputMessage="1" showErrorMessage="1" sqref="F95 K95" xr:uid="{00000000-0002-0000-0900-000005000000}">
      <formula1>$H$95:$H$100</formula1>
    </dataValidation>
  </dataValidations>
  <hyperlinks>
    <hyperlink ref="F16:G16" r:id="rId1" display="Tamko TW-60" xr:uid="{00000000-0004-0000-0900-000000000000}"/>
    <hyperlink ref="F18:G18" r:id="rId2" display="DMX (DMX-244-20)" xr:uid="{00000000-0004-0000-0900-000001000000}"/>
    <hyperlink ref="B10:D10" r:id="rId3" display="Build Block" xr:uid="{00000000-0004-0000-0900-000002000000}"/>
    <hyperlink ref="J10:L10" r:id="rId4" display="Build Deck" xr:uid="{00000000-0004-0000-0900-000003000000}"/>
    <hyperlink ref="F22:G22" r:id="rId5" display="Custom Corner" xr:uid="{00000000-0004-0000-0900-000004000000}"/>
    <hyperlink ref="F25:G25" r:id="rId6" display="Custom Corner" xr:uid="{00000000-0004-0000-09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8129" r:id="rId10" name="Drop Down 1">
              <controlPr defaultSize="0" autoLine="0" autoPict="0">
                <anchor moveWithCells="1">
                  <from>
                    <xdr:col>2</xdr:col>
                    <xdr:colOff>9525</xdr:colOff>
                    <xdr:row>10</xdr:row>
                    <xdr:rowOff>9525</xdr:rowOff>
                  </from>
                  <to>
                    <xdr:col>4</xdr:col>
                    <xdr:colOff>0</xdr:colOff>
                    <xdr:row>10</xdr:row>
                    <xdr:rowOff>190500</xdr:rowOff>
                  </to>
                </anchor>
              </controlPr>
            </control>
          </mc:Choice>
        </mc:AlternateContent>
        <mc:AlternateContent xmlns:mc="http://schemas.openxmlformats.org/markup-compatibility/2006">
          <mc:Choice Requires="x14">
            <control shapeId="48130" r:id="rId11" name="Drop Down 2">
              <controlPr defaultSize="0" autoLine="0" autoPict="0">
                <anchor moveWithCells="1">
                  <from>
                    <xdr:col>4</xdr:col>
                    <xdr:colOff>190500</xdr:colOff>
                    <xdr:row>9</xdr:row>
                    <xdr:rowOff>9525</xdr:rowOff>
                  </from>
                  <to>
                    <xdr:col>7</xdr:col>
                    <xdr:colOff>0</xdr:colOff>
                    <xdr:row>10</xdr:row>
                    <xdr:rowOff>19050</xdr:rowOff>
                  </to>
                </anchor>
              </controlPr>
            </control>
          </mc:Choice>
        </mc:AlternateContent>
        <mc:AlternateContent xmlns:mc="http://schemas.openxmlformats.org/markup-compatibility/2006">
          <mc:Choice Requires="x14">
            <control shapeId="48131"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8132" r:id="rId13" name="Drop Down 4">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8133" r:id="rId14" name="Drop Down 5">
              <controlPr defaultSize="0" autoLine="0" autoPict="0">
                <anchor moveWithCells="1">
                  <from>
                    <xdr:col>3</xdr:col>
                    <xdr:colOff>9525</xdr:colOff>
                    <xdr:row>23</xdr:row>
                    <xdr:rowOff>180975</xdr:rowOff>
                  </from>
                  <to>
                    <xdr:col>5</xdr:col>
                    <xdr:colOff>0</xdr:colOff>
                    <xdr:row>24</xdr:row>
                    <xdr:rowOff>180975</xdr:rowOff>
                  </to>
                </anchor>
              </controlPr>
            </control>
          </mc:Choice>
        </mc:AlternateContent>
        <mc:AlternateContent xmlns:mc="http://schemas.openxmlformats.org/markup-compatibility/2006">
          <mc:Choice Requires="x14">
            <control shapeId="48134" r:id="rId15" name="Drop Down 6">
              <controlPr defaultSize="0" autoLine="0" autoPict="0">
                <anchor moveWithCells="1">
                  <from>
                    <xdr:col>3</xdr:col>
                    <xdr:colOff>9525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8135" r:id="rId16" name="Drop Down 7">
              <controlPr defaultSize="0" autoLine="0" autoPict="0">
                <anchor moveWithCells="1">
                  <from>
                    <xdr:col>3</xdr:col>
                    <xdr:colOff>9525</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48136" r:id="rId17" name="Drop Down 8">
              <controlPr defaultSize="0" autoLine="0" autoPict="0">
                <anchor moveWithCells="1">
                  <from>
                    <xdr:col>5</xdr:col>
                    <xdr:colOff>0</xdr:colOff>
                    <xdr:row>18</xdr:row>
                    <xdr:rowOff>180975</xdr:rowOff>
                  </from>
                  <to>
                    <xdr:col>7</xdr:col>
                    <xdr:colOff>0</xdr:colOff>
                    <xdr:row>20</xdr:row>
                    <xdr:rowOff>0</xdr:rowOff>
                  </to>
                </anchor>
              </controlPr>
            </control>
          </mc:Choice>
        </mc:AlternateContent>
        <mc:AlternateContent xmlns:mc="http://schemas.openxmlformats.org/markup-compatibility/2006">
          <mc:Choice Requires="x14">
            <control shapeId="48137"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8150" r:id="rId19" name="Drop Down 22">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8151" r:id="rId20" name="Option Button 23">
              <controlPr locked="0" defaultSize="0" autoFill="0" autoLine="0" autoPict="0">
                <anchor moveWithCells="1">
                  <from>
                    <xdr:col>3</xdr:col>
                    <xdr:colOff>0</xdr:colOff>
                    <xdr:row>16</xdr:row>
                    <xdr:rowOff>190500</xdr:rowOff>
                  </from>
                  <to>
                    <xdr:col>5</xdr:col>
                    <xdr:colOff>161925</xdr:colOff>
                    <xdr:row>18</xdr:row>
                    <xdr:rowOff>0</xdr:rowOff>
                  </to>
                </anchor>
              </controlPr>
            </control>
          </mc:Choice>
        </mc:AlternateContent>
        <mc:AlternateContent xmlns:mc="http://schemas.openxmlformats.org/markup-compatibility/2006">
          <mc:Choice Requires="x14">
            <control shapeId="48152" r:id="rId21" name="Option Button 24">
              <controlPr locked="0" defaultSize="0" autoFill="0" autoLine="0" autoPict="0">
                <anchor moveWithCells="1">
                  <from>
                    <xdr:col>2</xdr:col>
                    <xdr:colOff>723900</xdr:colOff>
                    <xdr:row>18</xdr:row>
                    <xdr:rowOff>0</xdr:rowOff>
                  </from>
                  <to>
                    <xdr:col>5</xdr:col>
                    <xdr:colOff>152400</xdr:colOff>
                    <xdr:row>19</xdr:row>
                    <xdr:rowOff>9525</xdr:rowOff>
                  </to>
                </anchor>
              </controlPr>
            </control>
          </mc:Choice>
        </mc:AlternateContent>
      </controls>
    </mc:Choice>
  </mc:AlternateContent>
  <tableParts count="2">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A118"/>
  <sheetViews>
    <sheetView showRuler="0" zoomScaleNormal="100" zoomScalePageLayoutView="115" workbookViewId="0">
      <selection activeCell="C6" sqref="C6:F6"/>
    </sheetView>
  </sheetViews>
  <sheetFormatPr defaultRowHeight="15" x14ac:dyDescent="0.25"/>
  <cols>
    <col min="1" max="1" width="3.7109375" style="235" customWidth="1"/>
    <col min="2" max="2" width="12.85546875" style="235" bestFit="1" customWidth="1"/>
    <col min="3" max="3" width="11" style="235" bestFit="1" customWidth="1"/>
    <col min="4" max="4" width="9.5703125" style="235" bestFit="1" customWidth="1"/>
    <col min="5" max="5" width="3" style="235" bestFit="1" customWidth="1"/>
    <col min="6" max="6" width="8.7109375" style="235" bestFit="1" customWidth="1"/>
    <col min="7" max="7" width="12.140625" style="235" bestFit="1" customWidth="1"/>
    <col min="8" max="8" width="10.7109375" style="235" customWidth="1"/>
    <col min="9" max="9" width="15.7109375" style="235" bestFit="1" customWidth="1"/>
    <col min="10" max="10" width="13.5703125" style="235" customWidth="1"/>
    <col min="11" max="11" width="9.7109375" style="309" customWidth="1"/>
    <col min="12" max="12" width="12.7109375" style="309" customWidth="1"/>
    <col min="13" max="13" width="15.140625" style="235" hidden="1" customWidth="1"/>
    <col min="14" max="14" width="17.28515625" style="235" hidden="1" customWidth="1"/>
    <col min="15" max="15" width="8.7109375" style="316" customWidth="1"/>
    <col min="16" max="16" width="9.140625" style="235"/>
    <col min="17" max="17" width="12.85546875" style="235" customWidth="1"/>
    <col min="18" max="18" width="9.140625" style="316"/>
    <col min="19" max="19" width="9.7109375" style="316" bestFit="1" customWidth="1"/>
    <col min="20" max="20" width="10.7109375" style="235" customWidth="1"/>
    <col min="21" max="21" width="7.85546875" style="235" bestFit="1" customWidth="1"/>
    <col min="22" max="22" width="9.85546875" style="235" bestFit="1" customWidth="1"/>
    <col min="23" max="16384" width="9.140625" style="235"/>
  </cols>
  <sheetData>
    <row r="1" spans="2:27" x14ac:dyDescent="0.25">
      <c r="B1" s="229"/>
      <c r="C1" s="230"/>
      <c r="D1" s="230"/>
      <c r="E1" s="230"/>
      <c r="F1" s="230"/>
      <c r="G1" s="230"/>
      <c r="H1" s="230"/>
      <c r="I1" s="230"/>
      <c r="J1" s="230"/>
      <c r="K1" s="230"/>
      <c r="L1" s="231"/>
      <c r="M1" s="232"/>
      <c r="N1" s="232"/>
      <c r="O1" s="232"/>
      <c r="P1" s="232"/>
      <c r="Q1" s="232"/>
      <c r="R1" s="232"/>
      <c r="S1" s="232"/>
      <c r="T1" s="232"/>
      <c r="U1" s="232"/>
      <c r="V1" s="232"/>
      <c r="W1" s="232"/>
      <c r="X1" s="232"/>
      <c r="Y1" s="232"/>
      <c r="Z1" s="232"/>
      <c r="AA1" s="233"/>
    </row>
    <row r="2" spans="2:27" x14ac:dyDescent="0.25">
      <c r="B2" s="236"/>
      <c r="C2" s="237"/>
      <c r="D2" s="237"/>
      <c r="E2" s="237"/>
      <c r="F2" s="237"/>
      <c r="G2" s="237"/>
      <c r="H2" s="237"/>
      <c r="I2" s="237"/>
      <c r="J2" s="237"/>
      <c r="K2" s="237"/>
      <c r="L2" s="238"/>
      <c r="M2" s="243" t="s">
        <v>35</v>
      </c>
      <c r="N2" s="232"/>
      <c r="O2" s="232"/>
      <c r="P2" s="232"/>
      <c r="Q2" s="232"/>
      <c r="R2" s="232"/>
      <c r="S2" s="232"/>
      <c r="T2" s="232"/>
      <c r="U2" s="232"/>
      <c r="V2" s="232"/>
      <c r="W2" s="232"/>
      <c r="X2" s="232"/>
      <c r="Y2" s="239" t="s">
        <v>258</v>
      </c>
      <c r="Z2" s="239" t="s">
        <v>32</v>
      </c>
      <c r="AA2" s="233"/>
    </row>
    <row r="3" spans="2:27" x14ac:dyDescent="0.25">
      <c r="B3" s="236"/>
      <c r="C3" s="237"/>
      <c r="D3" s="237"/>
      <c r="E3" s="237"/>
      <c r="F3" s="237"/>
      <c r="G3" s="237"/>
      <c r="H3" s="237"/>
      <c r="I3" s="237"/>
      <c r="J3" s="237"/>
      <c r="K3" s="237"/>
      <c r="L3" s="238"/>
      <c r="M3" s="243" t="s">
        <v>34</v>
      </c>
      <c r="N3" s="233">
        <v>1</v>
      </c>
      <c r="O3" s="232" t="s">
        <v>6</v>
      </c>
      <c r="P3" s="232" t="s">
        <v>5</v>
      </c>
      <c r="Q3" s="240" t="s">
        <v>204</v>
      </c>
      <c r="R3" s="232" t="s">
        <v>14</v>
      </c>
      <c r="S3" s="232" t="s">
        <v>15</v>
      </c>
      <c r="T3" s="232" t="s">
        <v>208</v>
      </c>
      <c r="U3" s="232" t="s">
        <v>16</v>
      </c>
      <c r="V3" s="232" t="s">
        <v>17</v>
      </c>
      <c r="W3" s="232"/>
      <c r="X3" s="232"/>
      <c r="Y3" s="239"/>
      <c r="Z3" s="239">
        <v>4052123139</v>
      </c>
      <c r="AA3" s="233"/>
    </row>
    <row r="4" spans="2:27" x14ac:dyDescent="0.25">
      <c r="B4" s="236"/>
      <c r="C4" s="237"/>
      <c r="D4" s="237"/>
      <c r="E4" s="237"/>
      <c r="F4" s="237"/>
      <c r="G4" s="237"/>
      <c r="H4" s="237"/>
      <c r="I4" s="237"/>
      <c r="J4" s="237"/>
      <c r="K4" s="241"/>
      <c r="L4" s="242"/>
      <c r="M4" s="243" t="s">
        <v>36</v>
      </c>
      <c r="N4" s="233">
        <v>2</v>
      </c>
      <c r="O4" s="232" t="s">
        <v>0</v>
      </c>
      <c r="P4" s="232">
        <v>5.33</v>
      </c>
      <c r="Q4" s="233" t="s">
        <v>42</v>
      </c>
      <c r="R4" s="232">
        <v>5.55</v>
      </c>
      <c r="S4" s="232">
        <v>3.56</v>
      </c>
      <c r="T4" s="233" t="s">
        <v>43</v>
      </c>
      <c r="U4" s="232">
        <v>4.8899999999999997</v>
      </c>
      <c r="V4" s="232">
        <v>4.0599999999999996</v>
      </c>
      <c r="W4" s="232"/>
      <c r="X4" s="232"/>
      <c r="Y4" s="239" t="s">
        <v>35</v>
      </c>
      <c r="Z4" s="239">
        <v>4052123126</v>
      </c>
      <c r="AA4" s="233"/>
    </row>
    <row r="5" spans="2:27" ht="15.75" thickBot="1" x14ac:dyDescent="0.3">
      <c r="B5" s="244"/>
      <c r="C5" s="245"/>
      <c r="D5" s="237"/>
      <c r="E5" s="237"/>
      <c r="F5" s="237"/>
      <c r="G5" s="237"/>
      <c r="H5" s="237"/>
      <c r="I5" s="237"/>
      <c r="J5" s="245"/>
      <c r="K5" s="246"/>
      <c r="L5" s="247"/>
      <c r="M5" s="243" t="s">
        <v>37</v>
      </c>
      <c r="N5" s="233">
        <v>3</v>
      </c>
      <c r="O5" s="233" t="s">
        <v>199</v>
      </c>
      <c r="P5" s="232">
        <v>5.33</v>
      </c>
      <c r="Q5" s="233" t="s">
        <v>205</v>
      </c>
      <c r="R5" s="233">
        <v>7.56</v>
      </c>
      <c r="S5" s="233">
        <v>5.56</v>
      </c>
      <c r="T5" s="233" t="s">
        <v>43</v>
      </c>
      <c r="U5" s="232">
        <v>4.8899999999999997</v>
      </c>
      <c r="V5" s="232">
        <v>4.0599999999999996</v>
      </c>
      <c r="W5" s="232"/>
      <c r="X5" s="232"/>
      <c r="Y5" s="239" t="s">
        <v>34</v>
      </c>
      <c r="Z5" s="239">
        <v>4052123130</v>
      </c>
      <c r="AA5" s="233"/>
    </row>
    <row r="6" spans="2:27" ht="15.75" thickBot="1" x14ac:dyDescent="0.3">
      <c r="B6" s="248" t="s">
        <v>31</v>
      </c>
      <c r="C6" s="715" t="str">
        <f>'Level 1'!$C$6</f>
        <v xml:space="preserve">Name </v>
      </c>
      <c r="D6" s="766"/>
      <c r="E6" s="766"/>
      <c r="F6" s="716"/>
      <c r="G6" s="249" t="s">
        <v>114</v>
      </c>
      <c r="H6" s="715" t="str">
        <f>'Level 1'!$H$6</f>
        <v xml:space="preserve">Number  </v>
      </c>
      <c r="I6" s="716"/>
      <c r="J6" s="749" t="str">
        <f ca="1">RIGHT(CELL("filename",E2),LEN(CELL("filename",E2))-FIND("]",CELL("filename",E2)))</f>
        <v>Level 10</v>
      </c>
      <c r="K6" s="749"/>
      <c r="L6" s="701"/>
      <c r="M6" s="243" t="s">
        <v>185</v>
      </c>
      <c r="N6" s="233">
        <v>4</v>
      </c>
      <c r="O6" s="233" t="s">
        <v>200</v>
      </c>
      <c r="P6" s="232">
        <v>5.33</v>
      </c>
      <c r="Q6" s="240" t="s">
        <v>42</v>
      </c>
      <c r="R6" s="233">
        <v>5.55</v>
      </c>
      <c r="S6" s="233">
        <v>3.56</v>
      </c>
      <c r="T6" s="233" t="s">
        <v>43</v>
      </c>
      <c r="U6" s="232">
        <v>4.8899999999999997</v>
      </c>
      <c r="V6" s="232">
        <v>4.0599999999999996</v>
      </c>
      <c r="W6" s="232"/>
      <c r="X6" s="232"/>
      <c r="Y6" s="239" t="s">
        <v>36</v>
      </c>
      <c r="Z6" s="239">
        <v>4052123132</v>
      </c>
      <c r="AA6" s="233"/>
    </row>
    <row r="7" spans="2:27" ht="15.75" thickBot="1" x14ac:dyDescent="0.3">
      <c r="B7" s="250" t="s">
        <v>32</v>
      </c>
      <c r="C7" s="761" t="str">
        <f>'Level 1'!$C$7</f>
        <v>Phone</v>
      </c>
      <c r="D7" s="767"/>
      <c r="E7" s="767"/>
      <c r="F7" s="767"/>
      <c r="G7" s="762"/>
      <c r="H7" s="761">
        <f>'Level 1'!$H$7</f>
        <v>0</v>
      </c>
      <c r="I7" s="762"/>
      <c r="J7" s="1" t="s">
        <v>121</v>
      </c>
      <c r="K7" s="774" t="str">
        <f>'Level 1'!$K$7</f>
        <v>Date</v>
      </c>
      <c r="L7" s="775"/>
      <c r="M7" s="243" t="s">
        <v>186</v>
      </c>
      <c r="N7" s="233">
        <v>5</v>
      </c>
      <c r="O7" s="232" t="s">
        <v>1</v>
      </c>
      <c r="P7" s="232">
        <v>5.33</v>
      </c>
      <c r="Q7" s="240" t="s">
        <v>44</v>
      </c>
      <c r="R7" s="232">
        <v>6</v>
      </c>
      <c r="S7" s="232">
        <v>3.56</v>
      </c>
      <c r="T7" s="233" t="s">
        <v>45</v>
      </c>
      <c r="U7" s="232">
        <v>4.8899999999999997</v>
      </c>
      <c r="V7" s="232">
        <v>3.88</v>
      </c>
      <c r="W7" s="232"/>
      <c r="X7" s="232"/>
      <c r="Y7" s="239" t="s">
        <v>265</v>
      </c>
      <c r="Z7" s="239">
        <v>4052123129</v>
      </c>
      <c r="AA7" s="233"/>
    </row>
    <row r="8" spans="2:27" ht="15.75" thickBot="1" x14ac:dyDescent="0.3">
      <c r="B8" s="251" t="s">
        <v>38</v>
      </c>
      <c r="C8" s="715" t="str">
        <f>'Level 1'!$C$8</f>
        <v>Address</v>
      </c>
      <c r="D8" s="766"/>
      <c r="E8" s="766"/>
      <c r="F8" s="766"/>
      <c r="G8" s="716"/>
      <c r="H8" s="715" t="str">
        <f>'Level 1'!$H$8</f>
        <v>Address</v>
      </c>
      <c r="I8" s="716"/>
      <c r="J8" s="252" t="s">
        <v>33</v>
      </c>
      <c r="K8" s="776" t="str">
        <f>'Level 1'!$K$8</f>
        <v xml:space="preserve">Estimator </v>
      </c>
      <c r="L8" s="777"/>
      <c r="M8" s="232"/>
      <c r="N8" s="233">
        <v>6</v>
      </c>
      <c r="O8" s="232" t="s">
        <v>201</v>
      </c>
      <c r="P8" s="232">
        <v>5.33</v>
      </c>
      <c r="Q8" s="240" t="s">
        <v>206</v>
      </c>
      <c r="R8" s="233">
        <v>8</v>
      </c>
      <c r="S8" s="233">
        <v>5.56</v>
      </c>
      <c r="T8" s="233" t="s">
        <v>45</v>
      </c>
      <c r="U8" s="232">
        <v>4.8899999999999997</v>
      </c>
      <c r="V8" s="232">
        <v>3.88</v>
      </c>
      <c r="W8" s="232"/>
      <c r="X8" s="232"/>
      <c r="Y8" s="239" t="s">
        <v>37</v>
      </c>
      <c r="Z8" s="239">
        <v>4052123134</v>
      </c>
      <c r="AA8" s="233"/>
    </row>
    <row r="9" spans="2:27" ht="15.75" thickBot="1" x14ac:dyDescent="0.3">
      <c r="B9" s="253"/>
      <c r="C9" s="715" t="str">
        <f>'Level 1'!$C$9</f>
        <v>City, State Zip</v>
      </c>
      <c r="D9" s="766"/>
      <c r="E9" s="766"/>
      <c r="F9" s="766"/>
      <c r="G9" s="716"/>
      <c r="H9" s="715" t="str">
        <f>'Level 1'!$H$9</f>
        <v>City, State Zip</v>
      </c>
      <c r="I9" s="716"/>
      <c r="J9" s="254" t="s">
        <v>32</v>
      </c>
      <c r="K9" s="752" t="str">
        <f>'Level 1'!$K$9</f>
        <v>Number</v>
      </c>
      <c r="L9" s="753"/>
      <c r="M9" s="233"/>
      <c r="N9" s="233">
        <v>7</v>
      </c>
      <c r="O9" s="232" t="s">
        <v>202</v>
      </c>
      <c r="P9" s="232">
        <v>5.33</v>
      </c>
      <c r="Q9" s="240" t="s">
        <v>44</v>
      </c>
      <c r="R9" s="233">
        <v>6</v>
      </c>
      <c r="S9" s="233">
        <v>3.56</v>
      </c>
      <c r="T9" s="233" t="s">
        <v>45</v>
      </c>
      <c r="U9" s="232">
        <v>4.8899999999999997</v>
      </c>
      <c r="V9" s="232">
        <v>3.88</v>
      </c>
      <c r="W9" s="232"/>
      <c r="X9" s="232"/>
      <c r="Y9" s="239" t="s">
        <v>185</v>
      </c>
      <c r="Z9" s="239">
        <v>4052123138</v>
      </c>
      <c r="AA9" s="233"/>
    </row>
    <row r="10" spans="2:27" ht="15.75" thickBot="1" x14ac:dyDescent="0.3">
      <c r="B10" s="725" t="s">
        <v>64</v>
      </c>
      <c r="C10" s="748"/>
      <c r="D10" s="726"/>
      <c r="E10" s="230"/>
      <c r="F10" s="768">
        <v>2</v>
      </c>
      <c r="G10" s="769"/>
      <c r="H10" s="67">
        <v>0</v>
      </c>
      <c r="I10" s="255" t="s">
        <v>88</v>
      </c>
      <c r="J10" s="725" t="s">
        <v>54</v>
      </c>
      <c r="K10" s="748"/>
      <c r="L10" s="726"/>
      <c r="M10" s="233"/>
      <c r="N10" s="233">
        <v>8</v>
      </c>
      <c r="O10" s="232" t="s">
        <v>2</v>
      </c>
      <c r="P10" s="232">
        <v>5.33</v>
      </c>
      <c r="Q10" s="240" t="s">
        <v>46</v>
      </c>
      <c r="R10" s="232">
        <v>6.44</v>
      </c>
      <c r="S10" s="232">
        <v>3.56</v>
      </c>
      <c r="T10" s="233" t="s">
        <v>47</v>
      </c>
      <c r="U10" s="232">
        <v>4.8899999999999997</v>
      </c>
      <c r="V10" s="232">
        <v>3.69</v>
      </c>
      <c r="W10" s="232"/>
      <c r="X10" s="232"/>
      <c r="Y10" s="239" t="s">
        <v>186</v>
      </c>
      <c r="Z10" s="239">
        <v>4058403386</v>
      </c>
      <c r="AA10" s="233"/>
    </row>
    <row r="11" spans="2:27" ht="15.75" thickBot="1" x14ac:dyDescent="0.3">
      <c r="B11" s="256" t="s">
        <v>39</v>
      </c>
      <c r="C11" s="3">
        <v>1</v>
      </c>
      <c r="D11" s="257"/>
      <c r="E11" s="237"/>
      <c r="F11" s="237"/>
      <c r="G11" s="258"/>
      <c r="H11" s="2">
        <v>0</v>
      </c>
      <c r="I11" s="259" t="s">
        <v>117</v>
      </c>
      <c r="J11" s="4">
        <v>1</v>
      </c>
      <c r="K11" s="260"/>
      <c r="L11" s="261">
        <f>ROUNDUP(K12,0)*ROUNDUP(K13,0)</f>
        <v>0</v>
      </c>
      <c r="M11" s="233"/>
      <c r="N11" s="233">
        <v>9</v>
      </c>
      <c r="O11" s="232" t="s">
        <v>203</v>
      </c>
      <c r="P11" s="232">
        <v>5.33</v>
      </c>
      <c r="Q11" s="240" t="s">
        <v>46</v>
      </c>
      <c r="R11" s="233">
        <v>6.44</v>
      </c>
      <c r="S11" s="233">
        <v>3.56</v>
      </c>
      <c r="T11" s="233" t="s">
        <v>47</v>
      </c>
      <c r="U11" s="232">
        <v>4.8899999999999997</v>
      </c>
      <c r="V11" s="232">
        <v>3.69</v>
      </c>
      <c r="W11" s="232"/>
      <c r="X11" s="232"/>
      <c r="Y11" s="232"/>
      <c r="Z11" s="232"/>
      <c r="AA11" s="233"/>
    </row>
    <row r="12" spans="2:27" x14ac:dyDescent="0.25">
      <c r="B12" s="262" t="s">
        <v>11</v>
      </c>
      <c r="C12" s="263"/>
      <c r="D12" s="264"/>
      <c r="E12" s="237"/>
      <c r="F12" s="265" t="s">
        <v>12</v>
      </c>
      <c r="G12" s="237"/>
      <c r="H12" s="237"/>
      <c r="I12" s="237"/>
      <c r="J12" s="262" t="s">
        <v>59</v>
      </c>
      <c r="K12" s="5">
        <v>0</v>
      </c>
      <c r="L12" s="266"/>
      <c r="M12" s="233"/>
      <c r="N12" s="233">
        <v>10</v>
      </c>
      <c r="O12" s="232" t="s">
        <v>3</v>
      </c>
      <c r="P12" s="232">
        <v>5.33</v>
      </c>
      <c r="Q12" s="240" t="s">
        <v>48</v>
      </c>
      <c r="R12" s="232">
        <v>6.88</v>
      </c>
      <c r="S12" s="232">
        <v>3.56</v>
      </c>
      <c r="T12" s="233" t="s">
        <v>207</v>
      </c>
      <c r="U12" s="232">
        <v>0</v>
      </c>
      <c r="V12" s="232">
        <v>0</v>
      </c>
      <c r="W12" s="232"/>
      <c r="X12" s="232"/>
      <c r="Y12" s="232"/>
      <c r="Z12" s="232"/>
      <c r="AA12" s="233"/>
    </row>
    <row r="13" spans="2:27" ht="15.75" thickBot="1" x14ac:dyDescent="0.3">
      <c r="B13" s="267"/>
      <c r="C13" s="6">
        <v>0</v>
      </c>
      <c r="D13" s="7">
        <v>0</v>
      </c>
      <c r="E13" s="268">
        <f>ROUNDUP((C13*12+D13)/16,1)</f>
        <v>0</v>
      </c>
      <c r="F13" s="349">
        <f>ROUNDUP(E13/0.5,0)*0.5</f>
        <v>0</v>
      </c>
      <c r="G13" s="237"/>
      <c r="H13" s="237"/>
      <c r="I13" s="237"/>
      <c r="J13" s="262" t="s">
        <v>60</v>
      </c>
      <c r="K13" s="5">
        <v>0</v>
      </c>
      <c r="L13" s="270">
        <f>ROUNDUP(K12,0)*(ROUNDUP(K13,0))/4</f>
        <v>0</v>
      </c>
      <c r="M13" s="233"/>
      <c r="N13" s="233">
        <v>11</v>
      </c>
      <c r="O13" s="232" t="s">
        <v>4</v>
      </c>
      <c r="P13" s="232">
        <v>5.33</v>
      </c>
      <c r="Q13" s="240" t="s">
        <v>49</v>
      </c>
      <c r="R13" s="232">
        <v>7.33</v>
      </c>
      <c r="S13" s="232">
        <v>3.56</v>
      </c>
      <c r="T13" s="233" t="s">
        <v>207</v>
      </c>
      <c r="U13" s="232">
        <v>0</v>
      </c>
      <c r="V13" s="232">
        <v>0</v>
      </c>
      <c r="W13" s="232"/>
      <c r="X13" s="232"/>
      <c r="Y13" s="232"/>
      <c r="Z13" s="232"/>
      <c r="AA13" s="233"/>
    </row>
    <row r="14" spans="2:27" ht="15.75" thickBot="1" x14ac:dyDescent="0.3">
      <c r="B14" s="262" t="s">
        <v>13</v>
      </c>
      <c r="C14" s="265" t="s">
        <v>7</v>
      </c>
      <c r="D14" s="237"/>
      <c r="E14" s="237"/>
      <c r="F14" s="700" t="s">
        <v>488</v>
      </c>
      <c r="G14" s="701"/>
      <c r="H14" s="756">
        <f>ROUNDUP((C13+(D13/12))*C15,0)</f>
        <v>0</v>
      </c>
      <c r="I14" s="757"/>
      <c r="J14" s="262" t="s">
        <v>74</v>
      </c>
      <c r="K14" s="271">
        <f>ROUNDUP(L13*2/100,0)</f>
        <v>0</v>
      </c>
      <c r="L14" s="266"/>
      <c r="M14" s="233"/>
      <c r="N14" s="233"/>
      <c r="O14" s="272"/>
      <c r="P14" s="233"/>
      <c r="Q14" s="233"/>
      <c r="R14" s="272"/>
      <c r="S14" s="272"/>
      <c r="T14" s="232"/>
      <c r="U14" s="232"/>
      <c r="V14" s="232"/>
      <c r="W14" s="232"/>
      <c r="X14" s="232"/>
      <c r="Y14" s="232"/>
      <c r="Z14" s="232"/>
      <c r="AA14" s="233"/>
    </row>
    <row r="15" spans="2:27" ht="15.75" thickBot="1" x14ac:dyDescent="0.3">
      <c r="B15" s="267"/>
      <c r="C15" s="8">
        <v>0</v>
      </c>
      <c r="D15" s="237"/>
      <c r="E15" s="237"/>
      <c r="F15" s="658" t="s">
        <v>194</v>
      </c>
      <c r="G15" s="660"/>
      <c r="H15" s="759">
        <f>((C13+(D13/12))*C15)-(C28*D29)</f>
        <v>0</v>
      </c>
      <c r="I15" s="760"/>
      <c r="J15" s="267" t="s">
        <v>70</v>
      </c>
      <c r="K15" s="213">
        <v>1</v>
      </c>
      <c r="L15" s="266"/>
      <c r="M15" s="233"/>
      <c r="N15" s="233"/>
      <c r="O15" s="272"/>
      <c r="P15" s="232"/>
      <c r="Q15" s="232"/>
      <c r="R15" s="232"/>
      <c r="S15" s="232"/>
      <c r="T15" s="232"/>
      <c r="U15" s="232"/>
      <c r="V15" s="232"/>
      <c r="W15" s="232"/>
      <c r="X15" s="232"/>
      <c r="Y15" s="232"/>
      <c r="Z15" s="232"/>
      <c r="AA15" s="233"/>
    </row>
    <row r="16" spans="2:27" ht="15.75" thickBot="1" x14ac:dyDescent="0.3">
      <c r="B16" s="732" t="s">
        <v>106</v>
      </c>
      <c r="C16" s="733"/>
      <c r="D16" s="237"/>
      <c r="E16" s="268" t="s">
        <v>0</v>
      </c>
      <c r="F16" s="725" t="s">
        <v>73</v>
      </c>
      <c r="G16" s="726"/>
      <c r="H16" s="273" t="s">
        <v>132</v>
      </c>
      <c r="I16" s="214">
        <v>0</v>
      </c>
      <c r="J16" s="673" t="s">
        <v>110</v>
      </c>
      <c r="K16" s="674"/>
      <c r="L16" s="350">
        <f>IF(ISNA(INDEX(S61:V67,MATCH(J11,R61:R67,0),MATCH(K15,S60:V60,0))),0,INDEX(S61:V67,MATCH(J11,R61:R67,0),MATCH(K15,S60:V60,0)))</f>
        <v>0</v>
      </c>
      <c r="M16" s="233"/>
      <c r="N16" s="233"/>
      <c r="O16" s="272"/>
      <c r="P16" s="232"/>
      <c r="Q16" s="232"/>
      <c r="R16" s="232"/>
      <c r="S16" s="232"/>
      <c r="T16" s="232"/>
      <c r="U16" s="232"/>
      <c r="V16" s="232"/>
      <c r="W16" s="232"/>
      <c r="X16" s="232"/>
      <c r="Y16" s="232"/>
      <c r="Z16" s="232"/>
      <c r="AA16" s="233"/>
    </row>
    <row r="17" spans="2:27" ht="15.75" customHeight="1" thickBot="1" x14ac:dyDescent="0.3">
      <c r="B17" s="256" t="s">
        <v>75</v>
      </c>
      <c r="C17" s="9">
        <v>0</v>
      </c>
      <c r="D17" s="237"/>
      <c r="E17" s="268" t="s">
        <v>1</v>
      </c>
      <c r="F17" s="268">
        <f>IF(F10=1,H11/3,IF(F10=2,0))</f>
        <v>0</v>
      </c>
      <c r="G17" s="275">
        <f>ROUNDUP(((F17*H10)/61),0)</f>
        <v>0</v>
      </c>
      <c r="H17" s="237"/>
      <c r="I17" s="67"/>
      <c r="J17" s="670" t="s">
        <v>193</v>
      </c>
      <c r="K17" s="671"/>
      <c r="L17" s="672"/>
      <c r="M17" s="232" t="s">
        <v>50</v>
      </c>
      <c r="N17" s="233"/>
      <c r="O17" s="272"/>
      <c r="P17" s="232"/>
      <c r="Q17" s="232"/>
      <c r="R17" s="232"/>
      <c r="S17" s="232"/>
      <c r="T17" s="232"/>
      <c r="U17" s="232"/>
      <c r="V17" s="233">
        <f>ROUNDUP(((((F13*16/12)*C15)-(C28*D29)-W22)/5.33)-((I35-(C23+C24))+I37)+I16,0)</f>
        <v>0</v>
      </c>
      <c r="W17" s="232" t="s">
        <v>241</v>
      </c>
      <c r="X17" s="233"/>
      <c r="Y17" s="232"/>
      <c r="Z17" s="232"/>
      <c r="AA17" s="233"/>
    </row>
    <row r="18" spans="2:27" ht="15.75" thickBot="1" x14ac:dyDescent="0.3">
      <c r="B18" s="262" t="s">
        <v>76</v>
      </c>
      <c r="C18" s="10">
        <v>0</v>
      </c>
      <c r="D18" s="408">
        <v>2</v>
      </c>
      <c r="E18" s="406" t="s">
        <v>2</v>
      </c>
      <c r="F18" s="725" t="s">
        <v>79</v>
      </c>
      <c r="G18" s="726"/>
      <c r="H18" s="25" t="s">
        <v>187</v>
      </c>
      <c r="I18" s="237"/>
      <c r="J18" s="675" t="s">
        <v>61</v>
      </c>
      <c r="K18" s="676"/>
      <c r="L18" s="276" t="s">
        <v>62</v>
      </c>
      <c r="M18" s="232" t="s">
        <v>51</v>
      </c>
      <c r="N18" s="232"/>
      <c r="O18" s="232"/>
      <c r="P18" s="232"/>
      <c r="Q18" s="239"/>
      <c r="R18" s="232"/>
      <c r="S18" s="232"/>
      <c r="T18" s="232"/>
      <c r="U18" s="232"/>
      <c r="V18" s="233"/>
      <c r="W18" s="232">
        <f>IF(ISNA(C17*F13*VLOOKUP($J$20,$Q$4:$V$13,2,0)),0,C17*F13*VLOOKUP($J$20,$Q$4:$V$13,2,0))</f>
        <v>0</v>
      </c>
      <c r="X18" s="233"/>
      <c r="Y18" s="232"/>
      <c r="Z18" s="232"/>
      <c r="AA18" s="233"/>
    </row>
    <row r="19" spans="2:27" ht="15.75" thickBot="1" x14ac:dyDescent="0.3">
      <c r="B19" s="262" t="s">
        <v>77</v>
      </c>
      <c r="C19" s="10">
        <v>0</v>
      </c>
      <c r="D19" s="277"/>
      <c r="E19" s="406" t="s">
        <v>3</v>
      </c>
      <c r="F19" s="277" t="str">
        <f>IF(G20=0,"",(H11*H10)/G20)</f>
        <v/>
      </c>
      <c r="G19" s="278" t="str">
        <f>IF(F19="","",ROUNDUP(F19,0))</f>
        <v/>
      </c>
      <c r="H19" s="25" t="s">
        <v>188</v>
      </c>
      <c r="I19" s="237"/>
      <c r="J19" s="662" t="str">
        <f>VLOOKUP(C11,N3:V13,2,FALSE)</f>
        <v>Blocks</v>
      </c>
      <c r="K19" s="663"/>
      <c r="L19" s="279">
        <f>IF(OR(J19="BL1000",J19="BL1200"),V17+C19*F13+C20*F13,V17)</f>
        <v>0</v>
      </c>
      <c r="M19" s="232" t="s">
        <v>52</v>
      </c>
      <c r="N19" s="233"/>
      <c r="O19" s="232"/>
      <c r="P19" s="232"/>
      <c r="Q19" s="239"/>
      <c r="R19" s="272"/>
      <c r="S19" s="272"/>
      <c r="T19" s="233"/>
      <c r="U19" s="232"/>
      <c r="V19" s="233"/>
      <c r="W19" s="232">
        <f>IF(ISNA(C18*F13*VLOOKUP($J$20,$Q$4:$V$13,3,0)),0,C18*F13*VLOOKUP($J$20,$Q$4:$V$13,3,0))</f>
        <v>0</v>
      </c>
      <c r="X19" s="233"/>
      <c r="Y19" s="232"/>
      <c r="Z19" s="232"/>
      <c r="AA19" s="233"/>
    </row>
    <row r="20" spans="2:27" ht="15.75" thickBot="1" x14ac:dyDescent="0.3">
      <c r="B20" s="280" t="s">
        <v>78</v>
      </c>
      <c r="C20" s="11">
        <v>0</v>
      </c>
      <c r="D20" s="277" t="str">
        <f>IF(AND(C11=3,D18=1),"GB490",IF(AND(C11=3,D18=2),"BB490",IF(AND(C11=6,D18=1),"GB690",IF(AND(C11=6,D18=2),"BB690"," "))))</f>
        <v xml:space="preserve"> </v>
      </c>
      <c r="E20" s="406" t="s">
        <v>4</v>
      </c>
      <c r="F20" s="212">
        <v>1</v>
      </c>
      <c r="G20" s="257">
        <f>IF(F20=1,0,IF(F20=2,430,IF(F20=3,525)))</f>
        <v>0</v>
      </c>
      <c r="H20" s="25" t="s">
        <v>189</v>
      </c>
      <c r="I20" s="237"/>
      <c r="J20" s="662" t="str">
        <f>D21</f>
        <v>90° CORNER</v>
      </c>
      <c r="K20" s="663"/>
      <c r="L20" s="279">
        <f>IF(D26=2,H36,MAX(H34:H37))</f>
        <v>0</v>
      </c>
      <c r="M20" s="232" t="s">
        <v>53</v>
      </c>
      <c r="N20" s="233"/>
      <c r="O20" s="232"/>
      <c r="P20" s="232"/>
      <c r="Q20" s="239"/>
      <c r="R20" s="272"/>
      <c r="S20" s="272"/>
      <c r="T20" s="233"/>
      <c r="U20" s="232"/>
      <c r="V20" s="233"/>
      <c r="W20" s="232">
        <f>IF(ISNA(C19*F13*VLOOKUP($J$19,$O$4:$V$13,7,0)),0,C19*F13*VLOOKUP($J$19,$O$4:$V$13,7,0))</f>
        <v>0</v>
      </c>
      <c r="X20" s="233"/>
      <c r="Y20" s="232"/>
      <c r="Z20" s="232"/>
      <c r="AA20" s="233"/>
    </row>
    <row r="21" spans="2:27" ht="15.75" thickBot="1" x14ac:dyDescent="0.3">
      <c r="B21" s="675" t="s">
        <v>66</v>
      </c>
      <c r="C21" s="676"/>
      <c r="D21" s="277" t="str">
        <f>IF(OR(C11=3, C11=6),D20,VLOOKUP(C11,N3:V13,4,FALSE))</f>
        <v>90° CORNER</v>
      </c>
      <c r="E21" s="277"/>
      <c r="F21" s="237"/>
      <c r="G21" s="237"/>
      <c r="H21" s="25" t="s">
        <v>190</v>
      </c>
      <c r="I21" s="237"/>
      <c r="J21" s="662" t="str">
        <f>VLOOKUP(C11,N3:V13,7,FALSE)</f>
        <v>45° CORNER</v>
      </c>
      <c r="K21" s="663"/>
      <c r="L21" s="279">
        <f>IF(D26=2,G36,MAX(G34:G37))</f>
        <v>0</v>
      </c>
      <c r="M21" s="232" t="s">
        <v>58</v>
      </c>
      <c r="N21" s="233"/>
      <c r="O21" s="232"/>
      <c r="P21" s="232"/>
      <c r="Q21" s="239"/>
      <c r="R21" s="232"/>
      <c r="S21" s="232"/>
      <c r="T21" s="232"/>
      <c r="U21" s="232"/>
      <c r="V21" s="239"/>
      <c r="W21" s="239">
        <f>IF(ISNA(C20*F13*VLOOKUP($J$19,$O$4:$V$13,8,0)),0,C20*F13*VLOOKUP($J$19,$O$4:$V$13,8,0))</f>
        <v>0</v>
      </c>
      <c r="X21" s="239"/>
      <c r="Y21" s="232"/>
      <c r="Z21" s="232"/>
      <c r="AA21" s="233"/>
    </row>
    <row r="22" spans="2:27" ht="15.75" thickBot="1" x14ac:dyDescent="0.3">
      <c r="B22" s="256" t="s">
        <v>19</v>
      </c>
      <c r="C22" s="12">
        <v>0</v>
      </c>
      <c r="D22" s="13">
        <v>1</v>
      </c>
      <c r="E22" s="237"/>
      <c r="F22" s="739" t="s">
        <v>91</v>
      </c>
      <c r="G22" s="739"/>
      <c r="H22" s="25" t="s">
        <v>191</v>
      </c>
      <c r="I22" s="237"/>
      <c r="J22" s="662" t="str">
        <f>IF(D22=1,"BRICKLEDGE",IF(D22=2,M40,IF(D22=3,M41)))</f>
        <v>BRICKLEDGE</v>
      </c>
      <c r="K22" s="663"/>
      <c r="L22" s="281">
        <f>IF(AND(OR(J22="BB6BL",J22="BB8BL"),D23=2),I34,IF(AND(OR(J22="BB6BL",J22="BB8BL"),D23=3),I35,0))</f>
        <v>0</v>
      </c>
      <c r="M22" s="240" t="s">
        <v>57</v>
      </c>
      <c r="N22" s="233"/>
      <c r="O22" s="232"/>
      <c r="P22" s="232"/>
      <c r="Q22" s="239"/>
      <c r="R22" s="272"/>
      <c r="S22" s="272"/>
      <c r="T22" s="233"/>
      <c r="U22" s="232"/>
      <c r="V22" s="239"/>
      <c r="W22" s="239">
        <f>SUM(W18:W21)</f>
        <v>0</v>
      </c>
      <c r="X22" s="239"/>
      <c r="Y22" s="232"/>
      <c r="Z22" s="232"/>
      <c r="AA22" s="233"/>
    </row>
    <row r="23" spans="2:27" ht="15.75" thickBot="1" x14ac:dyDescent="0.3">
      <c r="B23" s="262" t="s">
        <v>219</v>
      </c>
      <c r="C23" s="441">
        <v>0</v>
      </c>
      <c r="D23" s="215">
        <v>1</v>
      </c>
      <c r="E23" s="237"/>
      <c r="F23" s="257"/>
      <c r="G23" s="257"/>
      <c r="H23" s="282"/>
      <c r="I23" s="237"/>
      <c r="J23" s="662" t="str">
        <f>IF(D25=1,"DOUBLE TAPER",IF(D25=2,P43,IF(D25=3,P44)))</f>
        <v>DOUBLE TAPER</v>
      </c>
      <c r="K23" s="663"/>
      <c r="L23" s="279">
        <f>IF(AND(OR(J23="BB6DT",J23="BB8DT"),D26=2),I36,IF(AND(OR(J23="BB6DT",J23="BB8DT"),D26=3),I37,0))</f>
        <v>0</v>
      </c>
      <c r="M23" s="240" t="s">
        <v>56</v>
      </c>
      <c r="N23" s="233"/>
      <c r="O23" s="232"/>
      <c r="P23" s="232"/>
      <c r="Q23" s="239"/>
      <c r="R23" s="272"/>
      <c r="S23" s="272"/>
      <c r="T23" s="233"/>
      <c r="U23" s="232"/>
      <c r="V23" s="232"/>
      <c r="W23" s="232"/>
      <c r="X23" s="232"/>
      <c r="Y23" s="232"/>
      <c r="Z23" s="232"/>
      <c r="AA23" s="233"/>
    </row>
    <row r="24" spans="2:27" ht="15.75" thickBot="1" x14ac:dyDescent="0.3">
      <c r="B24" s="325" t="s">
        <v>220</v>
      </c>
      <c r="C24" s="442">
        <v>0</v>
      </c>
      <c r="D24" s="237"/>
      <c r="E24" s="237"/>
      <c r="F24" s="737" t="str">
        <f>IF(D23=2,G34,IF(D23=3,G35,""))</f>
        <v/>
      </c>
      <c r="G24" s="737"/>
      <c r="H24" s="282"/>
      <c r="I24" s="237"/>
      <c r="J24" s="664" t="str">
        <f>IF(J11=1,"BUILDDECK",IF(J11=2,M18,IF(J11=3,M19,IF(J11&gt;=4,M20))))</f>
        <v>BUILDDECK</v>
      </c>
      <c r="K24" s="665"/>
      <c r="L24" s="283">
        <f>L13</f>
        <v>0</v>
      </c>
      <c r="M24" s="232" t="s">
        <v>55</v>
      </c>
      <c r="N24" s="233"/>
      <c r="O24" s="243"/>
      <c r="P24" s="232"/>
      <c r="Q24" s="239"/>
      <c r="R24" s="232"/>
      <c r="S24" s="232"/>
      <c r="T24" s="232"/>
      <c r="U24" s="232"/>
      <c r="V24" s="232"/>
      <c r="W24" s="232"/>
      <c r="X24" s="232"/>
      <c r="Y24" s="232"/>
      <c r="Z24" s="232"/>
      <c r="AA24" s="233"/>
    </row>
    <row r="25" spans="2:27" ht="15.75" thickBot="1" x14ac:dyDescent="0.3">
      <c r="B25" s="262" t="s">
        <v>20</v>
      </c>
      <c r="C25" s="15">
        <v>0</v>
      </c>
      <c r="D25" s="16">
        <v>1</v>
      </c>
      <c r="E25" s="237"/>
      <c r="F25" s="739" t="s">
        <v>91</v>
      </c>
      <c r="G25" s="739"/>
      <c r="H25" s="282"/>
      <c r="I25" s="237"/>
      <c r="J25" s="666" t="str">
        <f>IF(OR(C11=2,C11=3,C11=4),"BBUCK-400",IF(OR(C11=5,C11=6,C11=7),"BBUCK-600",IF(OR(C11=8,C11=9),"BBUCK-800","BUCK LINEAR FEET")))</f>
        <v>BUCK LINEAR FEET</v>
      </c>
      <c r="K25" s="667"/>
      <c r="L25" s="279">
        <f>J66+J87</f>
        <v>0</v>
      </c>
      <c r="M25" s="233"/>
      <c r="N25" s="233"/>
      <c r="O25" s="272"/>
      <c r="P25" s="232"/>
      <c r="Q25" s="239"/>
      <c r="R25" s="232"/>
      <c r="S25" s="232"/>
      <c r="T25" s="232"/>
      <c r="U25" s="232"/>
      <c r="V25" s="232"/>
      <c r="W25" s="232"/>
      <c r="X25" s="232"/>
      <c r="Y25" s="232"/>
      <c r="Z25" s="232"/>
      <c r="AA25" s="233"/>
    </row>
    <row r="26" spans="2:27" ht="15.75" thickBot="1" x14ac:dyDescent="0.3">
      <c r="B26" s="262" t="s">
        <v>41</v>
      </c>
      <c r="C26" s="14">
        <v>0</v>
      </c>
      <c r="D26" s="215">
        <v>1</v>
      </c>
      <c r="E26" s="237"/>
      <c r="F26" s="257"/>
      <c r="G26" s="257"/>
      <c r="H26" s="282"/>
      <c r="I26" s="237"/>
      <c r="J26" s="668"/>
      <c r="K26" s="669"/>
      <c r="L26" s="279">
        <v>0</v>
      </c>
      <c r="M26" s="232"/>
      <c r="N26" s="233"/>
      <c r="O26" s="232"/>
      <c r="P26" s="232"/>
      <c r="Q26" s="239"/>
      <c r="R26" s="232"/>
      <c r="S26" s="232"/>
      <c r="T26" s="232"/>
      <c r="U26" s="232"/>
      <c r="V26" s="284"/>
      <c r="W26" s="284"/>
      <c r="X26" s="284"/>
      <c r="Y26" s="284"/>
      <c r="Z26" s="284"/>
      <c r="AA26" s="234"/>
    </row>
    <row r="27" spans="2:27" ht="15.75" thickBot="1" x14ac:dyDescent="0.3">
      <c r="B27" s="675" t="s">
        <v>65</v>
      </c>
      <c r="C27" s="676"/>
      <c r="D27" s="237"/>
      <c r="E27" s="237"/>
      <c r="F27" s="738" t="str">
        <f>IF(D26=2,G36,IF(D26=3,G37,""))</f>
        <v/>
      </c>
      <c r="G27" s="738"/>
      <c r="H27" s="282"/>
      <c r="I27" s="237"/>
      <c r="J27" s="715"/>
      <c r="K27" s="716"/>
      <c r="L27" s="279">
        <v>0</v>
      </c>
      <c r="M27" s="232"/>
      <c r="N27" s="233"/>
      <c r="O27" s="232"/>
      <c r="P27" s="232"/>
      <c r="Q27" s="239"/>
      <c r="R27" s="232"/>
      <c r="S27" s="232"/>
      <c r="T27" s="232"/>
      <c r="U27" s="232"/>
      <c r="V27" s="284"/>
      <c r="W27" s="284"/>
      <c r="X27" s="284"/>
      <c r="Y27" s="284"/>
      <c r="Z27" s="284"/>
      <c r="AA27" s="234"/>
    </row>
    <row r="28" spans="2:27" ht="15.75" thickBot="1" x14ac:dyDescent="0.3">
      <c r="B28" s="256" t="s">
        <v>18</v>
      </c>
      <c r="C28" s="12">
        <f>K66+K87</f>
        <v>0</v>
      </c>
      <c r="D28" s="257"/>
      <c r="E28" s="763" t="s">
        <v>195</v>
      </c>
      <c r="F28" s="764"/>
      <c r="G28" s="764"/>
      <c r="H28" s="765"/>
      <c r="I28" s="237"/>
      <c r="J28" s="715"/>
      <c r="K28" s="716"/>
      <c r="L28" s="279">
        <v>0</v>
      </c>
      <c r="M28" s="232"/>
      <c r="N28" s="232"/>
      <c r="O28" s="232"/>
      <c r="P28" s="232"/>
      <c r="Q28" s="232"/>
      <c r="R28" s="232"/>
      <c r="S28" s="232"/>
      <c r="T28" s="232"/>
      <c r="U28" s="232"/>
      <c r="V28" s="284"/>
      <c r="W28" s="284"/>
      <c r="X28" s="284"/>
      <c r="Y28" s="284"/>
      <c r="Z28" s="284"/>
      <c r="AA28" s="234"/>
    </row>
    <row r="29" spans="2:27" x14ac:dyDescent="0.25">
      <c r="B29" s="711" t="s">
        <v>161</v>
      </c>
      <c r="C29" s="712"/>
      <c r="D29" s="216">
        <v>0.8</v>
      </c>
      <c r="E29" s="744" t="s">
        <v>59</v>
      </c>
      <c r="F29" s="745"/>
      <c r="G29" s="217">
        <v>0</v>
      </c>
      <c r="H29" s="218" t="s">
        <v>187</v>
      </c>
      <c r="I29" s="714"/>
      <c r="J29" s="714"/>
      <c r="K29" s="241"/>
      <c r="L29" s="242"/>
      <c r="M29" s="232"/>
      <c r="N29" s="232"/>
      <c r="O29" s="232"/>
      <c r="P29" s="232"/>
      <c r="Q29" s="233"/>
      <c r="R29" s="272"/>
      <c r="S29" s="272"/>
      <c r="T29" s="232"/>
      <c r="U29" s="232"/>
      <c r="V29" s="239" t="s">
        <v>111</v>
      </c>
      <c r="W29" s="239" t="s">
        <v>112</v>
      </c>
      <c r="X29" s="239" t="s">
        <v>40</v>
      </c>
      <c r="Y29" s="239" t="s">
        <v>113</v>
      </c>
      <c r="Z29" s="284"/>
      <c r="AA29" s="234"/>
    </row>
    <row r="30" spans="2:27" ht="15.75" thickBot="1" x14ac:dyDescent="0.3">
      <c r="B30" s="684" t="s">
        <v>104</v>
      </c>
      <c r="C30" s="685"/>
      <c r="D30" s="734"/>
      <c r="E30" s="746" t="s">
        <v>192</v>
      </c>
      <c r="F30" s="747"/>
      <c r="G30" s="219">
        <f>CONVERT(G29,H29,H30)</f>
        <v>0</v>
      </c>
      <c r="H30" s="220" t="s">
        <v>190</v>
      </c>
      <c r="I30" s="714"/>
      <c r="J30" s="714"/>
      <c r="K30" s="351"/>
      <c r="L30" s="242"/>
      <c r="M30" s="232"/>
      <c r="N30" s="232"/>
      <c r="O30" s="232"/>
      <c r="P30" s="232"/>
      <c r="Q30" s="233"/>
      <c r="R30" s="272"/>
      <c r="S30" s="272"/>
      <c r="T30" s="232"/>
      <c r="U30" s="232"/>
      <c r="V30" s="239" t="s">
        <v>0</v>
      </c>
      <c r="W30" s="239">
        <f>IF($J$19=Table413[[#This Row],[Block Size]],$L$19,0)</f>
        <v>0</v>
      </c>
      <c r="X30" s="239">
        <f>W30*Y30</f>
        <v>0</v>
      </c>
      <c r="Y30" s="239">
        <v>6.5844E-2</v>
      </c>
      <c r="Z30" s="284"/>
      <c r="AA30" s="234"/>
    </row>
    <row r="31" spans="2:27" ht="15.75" thickBot="1" x14ac:dyDescent="0.3">
      <c r="B31" s="244"/>
      <c r="C31" s="245"/>
      <c r="D31" s="237"/>
      <c r="E31" s="237"/>
      <c r="F31" s="237"/>
      <c r="G31" s="282"/>
      <c r="H31" s="237"/>
      <c r="I31" s="245"/>
      <c r="J31" s="288" t="s">
        <v>492</v>
      </c>
      <c r="K31" s="723">
        <f>'Level 1'!K31</f>
        <v>0</v>
      </c>
      <c r="L31" s="724"/>
      <c r="M31" s="232"/>
      <c r="N31" s="232"/>
      <c r="O31" s="232"/>
      <c r="P31" s="232"/>
      <c r="Q31" s="233"/>
      <c r="R31" s="272"/>
      <c r="S31" s="272"/>
      <c r="T31" s="232"/>
      <c r="U31" s="232"/>
      <c r="V31" s="239" t="s">
        <v>199</v>
      </c>
      <c r="W31" s="239">
        <f>IF($J$19=Table413[[#This Row],[Block Size]],$L$19,0)</f>
        <v>0</v>
      </c>
      <c r="X31" s="239">
        <f t="shared" ref="X31:X55" si="0">W31*Y31</f>
        <v>0</v>
      </c>
      <c r="Y31" s="239">
        <v>4.3906000000000001E-2</v>
      </c>
      <c r="Z31" s="284"/>
      <c r="AA31" s="234"/>
    </row>
    <row r="32" spans="2:27" ht="15.75" thickBot="1" x14ac:dyDescent="0.3">
      <c r="B32" s="732" t="s">
        <v>67</v>
      </c>
      <c r="C32" s="733"/>
      <c r="D32" s="237"/>
      <c r="E32" s="237"/>
      <c r="F32" s="237"/>
      <c r="G32" s="282"/>
      <c r="H32" s="237"/>
      <c r="I32" s="770"/>
      <c r="J32" s="771"/>
      <c r="K32" s="772"/>
      <c r="L32" s="773"/>
      <c r="M32" s="232"/>
      <c r="N32" s="232"/>
      <c r="O32" s="232"/>
      <c r="P32" s="232"/>
      <c r="Q32" s="233"/>
      <c r="R32" s="272"/>
      <c r="S32" s="272"/>
      <c r="T32" s="232"/>
      <c r="U32" s="232"/>
      <c r="V32" s="239" t="s">
        <v>200</v>
      </c>
      <c r="W32" s="239">
        <f>IF($J$19=Table413[[#This Row],[Block Size]],$L$19,0)</f>
        <v>0</v>
      </c>
      <c r="X32" s="239">
        <f t="shared" si="0"/>
        <v>0</v>
      </c>
      <c r="Y32" s="239">
        <v>6.5844E-2</v>
      </c>
      <c r="Z32" s="284"/>
      <c r="AA32" s="234"/>
    </row>
    <row r="33" spans="1:27" ht="15.75" thickBot="1" x14ac:dyDescent="0.3">
      <c r="B33" s="700" t="s">
        <v>40</v>
      </c>
      <c r="C33" s="701"/>
      <c r="D33" s="705">
        <f>ROUNDUP(Table413[[#Totals],[Concrete Volume]],0)</f>
        <v>0</v>
      </c>
      <c r="E33" s="706"/>
      <c r="F33" s="707"/>
      <c r="G33" s="289"/>
      <c r="H33" s="245"/>
      <c r="I33" s="778" t="s">
        <v>87</v>
      </c>
      <c r="J33" s="779"/>
      <c r="K33" s="779"/>
      <c r="L33" s="780"/>
      <c r="M33" s="232"/>
      <c r="N33" s="232"/>
      <c r="O33" s="232"/>
      <c r="P33" s="232"/>
      <c r="Q33" s="233"/>
      <c r="R33" s="272"/>
      <c r="S33" s="272"/>
      <c r="T33" s="232"/>
      <c r="U33" s="232"/>
      <c r="V33" s="239" t="s">
        <v>1</v>
      </c>
      <c r="W33" s="239">
        <f>IF($J$19=Table413[[#This Row],[Block Size]],$L$19,0)</f>
        <v>0</v>
      </c>
      <c r="X33" s="239">
        <f t="shared" si="0"/>
        <v>0</v>
      </c>
      <c r="Y33" s="239">
        <v>9.8765000000000006E-2</v>
      </c>
      <c r="Z33" s="284"/>
      <c r="AA33" s="234"/>
    </row>
    <row r="34" spans="1:27" x14ac:dyDescent="0.25">
      <c r="A34" s="233"/>
      <c r="B34" s="239"/>
      <c r="C34" s="239"/>
      <c r="D34" s="239"/>
      <c r="E34" s="239" t="s">
        <v>89</v>
      </c>
      <c r="F34" s="239"/>
      <c r="G34" s="233">
        <f>ROUNDUP(IF(OR(J19="BL1000",J19="BL1200"),0,((C19+C20)*F13)),0)</f>
        <v>0</v>
      </c>
      <c r="H34" s="239">
        <f>ROUNDUP((C17+C18)*F13,0)</f>
        <v>0</v>
      </c>
      <c r="I34" s="239">
        <f>ROUNDUP(C22/4+C23,0)</f>
        <v>0</v>
      </c>
      <c r="J34" s="239"/>
      <c r="K34" s="239" t="s">
        <v>122</v>
      </c>
      <c r="L34" s="239"/>
      <c r="M34" s="232"/>
      <c r="N34" s="232"/>
      <c r="O34" s="232"/>
      <c r="P34" s="232"/>
      <c r="Q34" s="233"/>
      <c r="R34" s="272"/>
      <c r="S34" s="272"/>
      <c r="T34" s="232"/>
      <c r="U34" s="232"/>
      <c r="V34" s="239" t="s">
        <v>201</v>
      </c>
      <c r="W34" s="239">
        <f>IF($J$19=Table413[[#This Row],[Block Size]],$L$19,0)</f>
        <v>0</v>
      </c>
      <c r="X34" s="239">
        <f t="shared" si="0"/>
        <v>0</v>
      </c>
      <c r="Y34" s="239">
        <v>6.2947000000000003E-2</v>
      </c>
      <c r="Z34" s="284"/>
      <c r="AA34" s="284"/>
    </row>
    <row r="35" spans="1:27" x14ac:dyDescent="0.25">
      <c r="A35" s="233"/>
      <c r="B35" s="239"/>
      <c r="C35" s="239"/>
      <c r="D35" s="239"/>
      <c r="E35" s="239" t="s">
        <v>92</v>
      </c>
      <c r="F35" s="239"/>
      <c r="G35" s="233">
        <f>ROUNDUP(IF(OR(J19="BL1000",J19="BL1200"),0,((C19+C20)*F13)),0)</f>
        <v>0</v>
      </c>
      <c r="H35" s="239">
        <f>ROUNDUP((C17+C18)*F13,0)</f>
        <v>0</v>
      </c>
      <c r="I35" s="239">
        <f>ROUNDUP(IF(AND(OR(J22="BB6BL",J22="BB8BL")),C22/4,0),0)</f>
        <v>0</v>
      </c>
      <c r="J35" s="239"/>
      <c r="K35" s="239" t="s">
        <v>123</v>
      </c>
      <c r="L35" s="239"/>
      <c r="M35" s="232"/>
      <c r="N35" s="232"/>
      <c r="O35" s="232"/>
      <c r="P35" s="232"/>
      <c r="Q35" s="232"/>
      <c r="R35" s="232"/>
      <c r="S35" s="232"/>
      <c r="T35" s="232"/>
      <c r="U35" s="233"/>
      <c r="V35" s="239" t="s">
        <v>202</v>
      </c>
      <c r="W35" s="239">
        <f>IF($J$19=Table413[[#This Row],[Block Size]],$L$19,0)</f>
        <v>0</v>
      </c>
      <c r="X35" s="239">
        <f t="shared" si="0"/>
        <v>0</v>
      </c>
      <c r="Y35" s="239">
        <v>9.8765000000000006E-2</v>
      </c>
      <c r="Z35" s="284"/>
      <c r="AA35" s="284"/>
    </row>
    <row r="36" spans="1:27" x14ac:dyDescent="0.25">
      <c r="A36" s="233"/>
      <c r="B36" s="239"/>
      <c r="C36" s="239"/>
      <c r="D36" s="239"/>
      <c r="E36" s="239" t="s">
        <v>90</v>
      </c>
      <c r="F36" s="239"/>
      <c r="G36" s="233">
        <f>ROUNDUP(IF(OR(J19="BL1000",J19="BL1200"),0,((C19+C20)*F13))-(C19+C20),0)</f>
        <v>0</v>
      </c>
      <c r="H36" s="239">
        <f>ROUNDUP(((C17+C18)*F13)-(C17+C18),0)</f>
        <v>0</v>
      </c>
      <c r="I36" s="239">
        <f>ROUNDUP(C25/4+C26,0)</f>
        <v>0</v>
      </c>
      <c r="J36" s="239"/>
      <c r="K36" s="239" t="s">
        <v>124</v>
      </c>
      <c r="L36" s="239"/>
      <c r="M36" s="232"/>
      <c r="N36" s="232"/>
      <c r="O36" s="232"/>
      <c r="P36" s="232"/>
      <c r="Q36" s="232"/>
      <c r="R36" s="232"/>
      <c r="S36" s="232"/>
      <c r="T36" s="232"/>
      <c r="U36" s="233"/>
      <c r="V36" s="239" t="s">
        <v>2</v>
      </c>
      <c r="W36" s="239">
        <f>IF($J$19=Table413[[#This Row],[Block Size]],$L$19,0)</f>
        <v>0</v>
      </c>
      <c r="X36" s="239">
        <f t="shared" si="0"/>
        <v>0</v>
      </c>
      <c r="Y36" s="239">
        <v>0.131687</v>
      </c>
      <c r="Z36" s="284"/>
      <c r="AA36" s="284"/>
    </row>
    <row r="37" spans="1:27" ht="15.75" thickBot="1" x14ac:dyDescent="0.3">
      <c r="A37" s="233"/>
      <c r="B37" s="239"/>
      <c r="C37" s="239"/>
      <c r="D37" s="239"/>
      <c r="E37" s="239" t="s">
        <v>102</v>
      </c>
      <c r="F37" s="239"/>
      <c r="G37" s="233">
        <f>ROUNDUP(IF(OR(J19="BL1000",J19="BL1200"),0,((C19+C20)*F13)),0)</f>
        <v>0</v>
      </c>
      <c r="H37" s="239">
        <f>ROUNDUP((C17+C18)*F13,0)</f>
        <v>0</v>
      </c>
      <c r="I37" s="239">
        <f>ROUNDUP(IF(AND(OR(J23="BB6DT",J23="BB8DT")),(C25-C26*4)/4,0),0)</f>
        <v>0</v>
      </c>
      <c r="J37" s="239"/>
      <c r="K37" s="239"/>
      <c r="L37" s="239"/>
      <c r="M37" s="232"/>
      <c r="N37" s="232"/>
      <c r="O37" s="232"/>
      <c r="P37" s="232"/>
      <c r="Q37" s="232"/>
      <c r="R37" s="232"/>
      <c r="S37" s="232"/>
      <c r="T37" s="232"/>
      <c r="U37" s="233"/>
      <c r="V37" s="239" t="s">
        <v>203</v>
      </c>
      <c r="W37" s="239">
        <f>IF($J$19=Table413[[#This Row],[Block Size]],$L$19,0)</f>
        <v>0</v>
      </c>
      <c r="X37" s="239">
        <f t="shared" si="0"/>
        <v>0</v>
      </c>
      <c r="Y37" s="239">
        <v>0.131687</v>
      </c>
      <c r="Z37" s="284"/>
      <c r="AA37" s="284"/>
    </row>
    <row r="38" spans="1:27" ht="16.5" thickBot="1" x14ac:dyDescent="0.3">
      <c r="B38" s="116"/>
      <c r="C38" s="702" t="s">
        <v>94</v>
      </c>
      <c r="D38" s="703"/>
      <c r="E38" s="703"/>
      <c r="F38" s="703"/>
      <c r="G38" s="703"/>
      <c r="H38" s="703"/>
      <c r="I38" s="703"/>
      <c r="J38" s="703"/>
      <c r="K38" s="704"/>
      <c r="L38" s="290"/>
      <c r="M38" s="232"/>
      <c r="N38" s="232"/>
      <c r="O38" s="232"/>
      <c r="P38" s="232"/>
      <c r="Q38" s="232"/>
      <c r="R38" s="232"/>
      <c r="S38" s="232"/>
      <c r="T38" s="232"/>
      <c r="U38" s="233"/>
      <c r="V38" s="239" t="s">
        <v>3</v>
      </c>
      <c r="W38" s="239">
        <f>IF($J$19=Table413[[#This Row],[Block Size]],$L$19,0)</f>
        <v>0</v>
      </c>
      <c r="X38" s="239">
        <f t="shared" si="0"/>
        <v>0</v>
      </c>
      <c r="Y38" s="239">
        <v>0.16460900000000001</v>
      </c>
      <c r="Z38" s="284"/>
      <c r="AA38" s="284"/>
    </row>
    <row r="39" spans="1:27" ht="15.75" thickBot="1" x14ac:dyDescent="0.3">
      <c r="B39" s="116"/>
      <c r="C39" s="740" t="s">
        <v>60</v>
      </c>
      <c r="D39" s="741"/>
      <c r="E39" s="120"/>
      <c r="F39" s="740" t="s">
        <v>63</v>
      </c>
      <c r="G39" s="741"/>
      <c r="H39" s="121"/>
      <c r="I39" s="122"/>
      <c r="J39" s="122"/>
      <c r="K39" s="291"/>
      <c r="L39" s="290"/>
      <c r="M39" s="232" t="s">
        <v>107</v>
      </c>
      <c r="N39" s="232" t="s">
        <v>69</v>
      </c>
      <c r="O39" s="232"/>
      <c r="P39" s="232"/>
      <c r="Q39" s="232"/>
      <c r="R39" s="232"/>
      <c r="S39" s="232"/>
      <c r="T39" s="232"/>
      <c r="U39" s="233"/>
      <c r="V39" s="239" t="s">
        <v>4</v>
      </c>
      <c r="W39" s="239">
        <f>IF($J$19=Table413[[#This Row],[Block Size]],$L$19,0)</f>
        <v>0</v>
      </c>
      <c r="X39" s="239">
        <f t="shared" si="0"/>
        <v>0</v>
      </c>
      <c r="Y39" s="239">
        <v>0.19752900000000001</v>
      </c>
      <c r="Z39" s="284"/>
      <c r="AA39" s="234"/>
    </row>
    <row r="40" spans="1:27" ht="15.75" thickBot="1" x14ac:dyDescent="0.3">
      <c r="B40" s="116"/>
      <c r="C40" s="292" t="s">
        <v>7</v>
      </c>
      <c r="D40" s="292" t="s">
        <v>8</v>
      </c>
      <c r="E40" s="293"/>
      <c r="F40" s="292" t="s">
        <v>7</v>
      </c>
      <c r="G40" s="292" t="s">
        <v>8</v>
      </c>
      <c r="H40" s="292" t="s">
        <v>9</v>
      </c>
      <c r="I40" s="294" t="s">
        <v>103</v>
      </c>
      <c r="J40" s="294" t="s">
        <v>30</v>
      </c>
      <c r="K40" s="291" t="s">
        <v>29</v>
      </c>
      <c r="L40" s="290"/>
      <c r="M40" s="232" t="s">
        <v>23</v>
      </c>
      <c r="N40" s="232" t="s">
        <v>68</v>
      </c>
      <c r="O40" s="232"/>
      <c r="P40" s="232"/>
      <c r="Q40" s="232"/>
      <c r="R40" s="232"/>
      <c r="S40" s="232"/>
      <c r="T40" s="232"/>
      <c r="U40" s="233"/>
      <c r="V40" s="239" t="s">
        <v>42</v>
      </c>
      <c r="W40" s="239">
        <f>IF($J$20=Table413[[#This Row],[Block Size]],$L$20,0)</f>
        <v>0</v>
      </c>
      <c r="X40" s="239">
        <f t="shared" si="0"/>
        <v>0</v>
      </c>
      <c r="Y40" s="239">
        <v>5.4573999999999998E-2</v>
      </c>
      <c r="Z40" s="284"/>
      <c r="AA40" s="234"/>
    </row>
    <row r="41" spans="1:27" ht="15.75" thickBot="1" x14ac:dyDescent="0.3">
      <c r="A41" s="233">
        <f>B41*H41</f>
        <v>0</v>
      </c>
      <c r="B41" s="118">
        <f>IF(C41+(D41/12)&gt;0,ROUNDUP((C41+(D41/12)+3),1),0)</f>
        <v>0</v>
      </c>
      <c r="C41" s="17">
        <v>0</v>
      </c>
      <c r="D41" s="18">
        <v>0</v>
      </c>
      <c r="E41" s="295" t="s">
        <v>10</v>
      </c>
      <c r="F41" s="18">
        <v>0</v>
      </c>
      <c r="G41" s="18">
        <v>0</v>
      </c>
      <c r="H41" s="18">
        <v>0</v>
      </c>
      <c r="I41" s="296">
        <f t="shared" ref="I41:I65" si="1">ROUNDDOWN(((C41*12)+D41)*((F41*12)+G41)/144, 1)</f>
        <v>0</v>
      </c>
      <c r="J41" s="296">
        <f t="shared" ref="J41:J65" si="2">ROUNDDOWN((((((C41*12+D41)/12)*2)+((F41*12+G41)/12)*2)*H41),0)</f>
        <v>0</v>
      </c>
      <c r="K41" s="297">
        <f t="shared" ref="K41:K65" si="3">I41*H41</f>
        <v>0</v>
      </c>
      <c r="L41" s="290" t="str">
        <f t="shared" ref="L41:L65" si="4">C41&amp;CHAR(10)&amp;D41&amp;CHAR(10)&amp;F41&amp;CHAR(10)&amp;G41</f>
        <v>0
0
0
0</v>
      </c>
      <c r="M41" s="232" t="s">
        <v>24</v>
      </c>
      <c r="N41" s="232"/>
      <c r="O41" s="232"/>
      <c r="P41" s="232"/>
      <c r="Q41" s="232"/>
      <c r="R41" s="232"/>
      <c r="S41" s="232"/>
      <c r="T41" s="232"/>
      <c r="U41" s="233"/>
      <c r="V41" s="239" t="s">
        <v>44</v>
      </c>
      <c r="W41" s="239">
        <f>IF($J$20=Table413[[#This Row],[Block Size]],$L$20,0)</f>
        <v>0</v>
      </c>
      <c r="X41" s="239">
        <f t="shared" si="0"/>
        <v>0</v>
      </c>
      <c r="Y41" s="239">
        <v>8.6527999999999994E-2</v>
      </c>
      <c r="Z41" s="284"/>
      <c r="AA41" s="234"/>
    </row>
    <row r="42" spans="1:27" ht="15.75" thickBot="1" x14ac:dyDescent="0.3">
      <c r="A42" s="233">
        <f t="shared" ref="A42:A65" si="5">B42*H42</f>
        <v>0</v>
      </c>
      <c r="B42" s="118">
        <f t="shared" ref="B42:B65" si="6">IF(C42+(D42/12)&gt;0,ROUNDUP((C42+(D42/12)+3),1),0)</f>
        <v>0</v>
      </c>
      <c r="C42" s="17">
        <v>0</v>
      </c>
      <c r="D42" s="18">
        <v>0</v>
      </c>
      <c r="E42" s="298" t="s">
        <v>10</v>
      </c>
      <c r="F42" s="18">
        <v>0</v>
      </c>
      <c r="G42" s="18">
        <v>0</v>
      </c>
      <c r="H42" s="18">
        <v>0</v>
      </c>
      <c r="I42" s="299">
        <f t="shared" si="1"/>
        <v>0</v>
      </c>
      <c r="J42" s="299">
        <f t="shared" si="2"/>
        <v>0</v>
      </c>
      <c r="K42" s="300">
        <f t="shared" si="3"/>
        <v>0</v>
      </c>
      <c r="L42" s="290" t="str">
        <f t="shared" si="4"/>
        <v>0
0
0
0</v>
      </c>
      <c r="M42" s="233"/>
      <c r="N42" s="233"/>
      <c r="O42" s="232"/>
      <c r="P42" s="232" t="s">
        <v>109</v>
      </c>
      <c r="Q42" s="232" t="s">
        <v>71</v>
      </c>
      <c r="R42" s="232" t="str">
        <f>IF(J11=2,#REF!,IF(J11=3,#REF!,IF(J11=4,#REF!,"")))</f>
        <v/>
      </c>
      <c r="S42" s="232"/>
      <c r="T42" s="232"/>
      <c r="U42" s="233"/>
      <c r="V42" s="239" t="s">
        <v>46</v>
      </c>
      <c r="W42" s="239">
        <f>IF($J$20=Table413[[#This Row],[Block Size]],$L$20,0)</f>
        <v>0</v>
      </c>
      <c r="X42" s="239">
        <f t="shared" si="0"/>
        <v>0</v>
      </c>
      <c r="Y42" s="239">
        <v>0.121517</v>
      </c>
      <c r="Z42" s="284"/>
      <c r="AA42" s="234"/>
    </row>
    <row r="43" spans="1:27" ht="15.75" thickBot="1" x14ac:dyDescent="0.3">
      <c r="A43" s="233">
        <f t="shared" si="5"/>
        <v>0</v>
      </c>
      <c r="B43" s="118">
        <f t="shared" si="6"/>
        <v>0</v>
      </c>
      <c r="C43" s="17">
        <v>0</v>
      </c>
      <c r="D43" s="18">
        <v>0</v>
      </c>
      <c r="E43" s="298" t="s">
        <v>10</v>
      </c>
      <c r="F43" s="18">
        <v>0</v>
      </c>
      <c r="G43" s="18">
        <v>0</v>
      </c>
      <c r="H43" s="18">
        <v>0</v>
      </c>
      <c r="I43" s="299">
        <f t="shared" si="1"/>
        <v>0</v>
      </c>
      <c r="J43" s="299">
        <f t="shared" si="2"/>
        <v>0</v>
      </c>
      <c r="K43" s="300">
        <f t="shared" si="3"/>
        <v>0</v>
      </c>
      <c r="L43" s="290" t="str">
        <f t="shared" si="4"/>
        <v>0
0
0
0</v>
      </c>
      <c r="M43" s="233"/>
      <c r="N43" s="233"/>
      <c r="O43" s="69"/>
      <c r="P43" s="232" t="s">
        <v>21</v>
      </c>
      <c r="Q43" s="232" t="s">
        <v>72</v>
      </c>
      <c r="R43" s="232" t="str">
        <f>IF(J11=2,V41,IF(J11=3,V46,IF(J11=4,#REF!,"")))</f>
        <v/>
      </c>
      <c r="S43" s="232"/>
      <c r="T43" s="232"/>
      <c r="U43" s="233"/>
      <c r="V43" s="239" t="s">
        <v>48</v>
      </c>
      <c r="W43" s="239">
        <f>IF($J$20=Table413[[#This Row],[Block Size]],$L$20,0)</f>
        <v>0</v>
      </c>
      <c r="X43" s="239">
        <f t="shared" si="0"/>
        <v>0</v>
      </c>
      <c r="Y43" s="239">
        <v>0.151444</v>
      </c>
      <c r="Z43" s="284"/>
      <c r="AA43" s="234"/>
    </row>
    <row r="44" spans="1:27" ht="15.75" thickBot="1" x14ac:dyDescent="0.3">
      <c r="A44" s="233">
        <f t="shared" si="5"/>
        <v>0</v>
      </c>
      <c r="B44" s="118">
        <f t="shared" si="6"/>
        <v>0</v>
      </c>
      <c r="C44" s="17">
        <v>0</v>
      </c>
      <c r="D44" s="18">
        <v>0</v>
      </c>
      <c r="E44" s="298" t="s">
        <v>10</v>
      </c>
      <c r="F44" s="18">
        <v>0</v>
      </c>
      <c r="G44" s="18">
        <v>0</v>
      </c>
      <c r="H44" s="18">
        <v>0</v>
      </c>
      <c r="I44" s="299">
        <f t="shared" si="1"/>
        <v>0</v>
      </c>
      <c r="J44" s="299">
        <f t="shared" si="2"/>
        <v>0</v>
      </c>
      <c r="K44" s="300">
        <f t="shared" si="3"/>
        <v>0</v>
      </c>
      <c r="L44" s="290" t="str">
        <f t="shared" si="4"/>
        <v>0
0
0
0</v>
      </c>
      <c r="M44" s="233"/>
      <c r="N44" s="233"/>
      <c r="O44" s="69"/>
      <c r="P44" s="232" t="s">
        <v>22</v>
      </c>
      <c r="Q44" s="232"/>
      <c r="R44" s="232"/>
      <c r="S44" s="232"/>
      <c r="T44" s="232"/>
      <c r="U44" s="233"/>
      <c r="V44" s="239" t="s">
        <v>49</v>
      </c>
      <c r="W44" s="239">
        <f>IF($J$20=Table413[[#This Row],[Block Size]],$L$20,0)</f>
        <v>0</v>
      </c>
      <c r="X44" s="239">
        <f t="shared" si="0"/>
        <v>0</v>
      </c>
      <c r="Y44" s="239">
        <v>0.19140799999999999</v>
      </c>
      <c r="Z44" s="284"/>
      <c r="AA44" s="234"/>
    </row>
    <row r="45" spans="1:27" ht="15.75" thickBot="1" x14ac:dyDescent="0.3">
      <c r="A45" s="233">
        <f t="shared" si="5"/>
        <v>0</v>
      </c>
      <c r="B45" s="118">
        <f t="shared" si="6"/>
        <v>0</v>
      </c>
      <c r="C45" s="17">
        <v>0</v>
      </c>
      <c r="D45" s="18">
        <v>0</v>
      </c>
      <c r="E45" s="298" t="s">
        <v>10</v>
      </c>
      <c r="F45" s="18">
        <v>0</v>
      </c>
      <c r="G45" s="18">
        <v>0</v>
      </c>
      <c r="H45" s="18">
        <v>0</v>
      </c>
      <c r="I45" s="299">
        <f t="shared" si="1"/>
        <v>0</v>
      </c>
      <c r="J45" s="299">
        <f t="shared" si="2"/>
        <v>0</v>
      </c>
      <c r="K45" s="300">
        <f t="shared" si="3"/>
        <v>0</v>
      </c>
      <c r="L45" s="290" t="str">
        <f t="shared" si="4"/>
        <v>0
0
0
0</v>
      </c>
      <c r="M45" s="233"/>
      <c r="N45" s="233"/>
      <c r="O45" s="69"/>
      <c r="P45" s="232">
        <v>0</v>
      </c>
      <c r="Q45" s="232"/>
      <c r="R45" s="232"/>
      <c r="S45" s="232"/>
      <c r="T45" s="232"/>
      <c r="U45" s="232"/>
      <c r="V45" s="239" t="s">
        <v>43</v>
      </c>
      <c r="W45" s="239">
        <f>IF($J$21=Table413[[#This Row],[Block Size]],$L$21,0)</f>
        <v>0</v>
      </c>
      <c r="X45" s="239">
        <f t="shared" si="0"/>
        <v>0</v>
      </c>
      <c r="Y45" s="239">
        <v>5.4984999999999999E-2</v>
      </c>
      <c r="Z45" s="284"/>
      <c r="AA45" s="234"/>
    </row>
    <row r="46" spans="1:27" ht="15.75" thickBot="1" x14ac:dyDescent="0.3">
      <c r="A46" s="233">
        <f t="shared" si="5"/>
        <v>0</v>
      </c>
      <c r="B46" s="118">
        <f t="shared" si="6"/>
        <v>0</v>
      </c>
      <c r="C46" s="17">
        <v>0</v>
      </c>
      <c r="D46" s="18">
        <v>0</v>
      </c>
      <c r="E46" s="298" t="s">
        <v>10</v>
      </c>
      <c r="F46" s="18">
        <v>0</v>
      </c>
      <c r="G46" s="18">
        <v>0</v>
      </c>
      <c r="H46" s="18">
        <v>0</v>
      </c>
      <c r="I46" s="299">
        <f t="shared" si="1"/>
        <v>0</v>
      </c>
      <c r="J46" s="299">
        <f t="shared" si="2"/>
        <v>0</v>
      </c>
      <c r="K46" s="300">
        <f t="shared" si="3"/>
        <v>0</v>
      </c>
      <c r="L46" s="290" t="str">
        <f t="shared" si="4"/>
        <v>0
0
0
0</v>
      </c>
      <c r="M46" s="233"/>
      <c r="N46" s="233"/>
      <c r="O46" s="123"/>
      <c r="P46" s="232" t="s">
        <v>96</v>
      </c>
      <c r="Q46" s="232"/>
      <c r="R46" s="232"/>
      <c r="S46" s="232"/>
      <c r="T46" s="232"/>
      <c r="U46" s="232"/>
      <c r="V46" s="239" t="s">
        <v>45</v>
      </c>
      <c r="W46" s="239">
        <f>IF($J$21=Table413[[#This Row],[Block Size]],$L$21,0)</f>
        <v>0</v>
      </c>
      <c r="X46" s="239">
        <f t="shared" si="0"/>
        <v>0</v>
      </c>
      <c r="Y46" s="239">
        <v>8.0840999999999996E-2</v>
      </c>
      <c r="Z46" s="284"/>
      <c r="AA46" s="234"/>
    </row>
    <row r="47" spans="1:27" ht="15.75" thickBot="1" x14ac:dyDescent="0.3">
      <c r="A47" s="233">
        <f t="shared" si="5"/>
        <v>0</v>
      </c>
      <c r="B47" s="118">
        <f t="shared" si="6"/>
        <v>0</v>
      </c>
      <c r="C47" s="17">
        <v>0</v>
      </c>
      <c r="D47" s="18">
        <v>0</v>
      </c>
      <c r="E47" s="298" t="s">
        <v>10</v>
      </c>
      <c r="F47" s="18">
        <v>0</v>
      </c>
      <c r="G47" s="18">
        <v>0</v>
      </c>
      <c r="H47" s="18">
        <v>0</v>
      </c>
      <c r="I47" s="299">
        <f t="shared" si="1"/>
        <v>0</v>
      </c>
      <c r="J47" s="299">
        <f t="shared" si="2"/>
        <v>0</v>
      </c>
      <c r="K47" s="300">
        <f t="shared" si="3"/>
        <v>0</v>
      </c>
      <c r="L47" s="290" t="str">
        <f t="shared" si="4"/>
        <v>0
0
0
0</v>
      </c>
      <c r="M47" s="233"/>
      <c r="N47" s="233"/>
      <c r="O47" s="123"/>
      <c r="P47" s="240" t="s">
        <v>97</v>
      </c>
      <c r="Q47" s="272"/>
      <c r="R47" s="232"/>
      <c r="S47" s="232"/>
      <c r="T47" s="232"/>
      <c r="U47" s="232"/>
      <c r="V47" s="239" t="s">
        <v>47</v>
      </c>
      <c r="W47" s="239">
        <f>IF($J$21=Table413[[#This Row],[Block Size]],$L$21,0)</f>
        <v>0</v>
      </c>
      <c r="X47" s="239">
        <f t="shared" si="0"/>
        <v>0</v>
      </c>
      <c r="Y47" s="239">
        <v>0.105425</v>
      </c>
      <c r="Z47" s="284"/>
      <c r="AA47" s="234"/>
    </row>
    <row r="48" spans="1:27" ht="15.75" thickBot="1" x14ac:dyDescent="0.3">
      <c r="A48" s="233">
        <f t="shared" si="5"/>
        <v>0</v>
      </c>
      <c r="B48" s="118">
        <f t="shared" si="6"/>
        <v>0</v>
      </c>
      <c r="C48" s="17">
        <v>0</v>
      </c>
      <c r="D48" s="18">
        <v>0</v>
      </c>
      <c r="E48" s="298" t="s">
        <v>10</v>
      </c>
      <c r="F48" s="18">
        <v>0</v>
      </c>
      <c r="G48" s="18">
        <v>0</v>
      </c>
      <c r="H48" s="18">
        <v>0</v>
      </c>
      <c r="I48" s="299">
        <f t="shared" si="1"/>
        <v>0</v>
      </c>
      <c r="J48" s="299">
        <f t="shared" si="2"/>
        <v>0</v>
      </c>
      <c r="K48" s="300">
        <f t="shared" si="3"/>
        <v>0</v>
      </c>
      <c r="L48" s="290" t="str">
        <f t="shared" si="4"/>
        <v>0
0
0
0</v>
      </c>
      <c r="M48" s="233"/>
      <c r="N48" s="233"/>
      <c r="O48" s="123"/>
      <c r="P48" s="233" t="s">
        <v>115</v>
      </c>
      <c r="Q48" s="233" t="s">
        <v>116</v>
      </c>
      <c r="R48" s="272"/>
      <c r="S48" s="233"/>
      <c r="T48" s="232"/>
      <c r="U48" s="232"/>
      <c r="V48" s="239" t="s">
        <v>23</v>
      </c>
      <c r="W48" s="239">
        <f>IF($J$22=Table413[[#This Row],[Block Size]],$L$22,0)</f>
        <v>0</v>
      </c>
      <c r="X48" s="239">
        <f t="shared" si="0"/>
        <v>0</v>
      </c>
      <c r="Y48" s="239">
        <v>0.13414799999999999</v>
      </c>
      <c r="Z48" s="284"/>
      <c r="AA48" s="234"/>
    </row>
    <row r="49" spans="1:27" ht="15.75" thickBot="1" x14ac:dyDescent="0.3">
      <c r="A49" s="233">
        <f t="shared" si="5"/>
        <v>0</v>
      </c>
      <c r="B49" s="118">
        <f t="shared" si="6"/>
        <v>0</v>
      </c>
      <c r="C49" s="17">
        <v>0</v>
      </c>
      <c r="D49" s="18">
        <v>0</v>
      </c>
      <c r="E49" s="298" t="s">
        <v>10</v>
      </c>
      <c r="F49" s="18">
        <v>0</v>
      </c>
      <c r="G49" s="18">
        <v>0</v>
      </c>
      <c r="H49" s="18">
        <v>0</v>
      </c>
      <c r="I49" s="299">
        <f t="shared" si="1"/>
        <v>0</v>
      </c>
      <c r="J49" s="299">
        <f t="shared" si="2"/>
        <v>0</v>
      </c>
      <c r="K49" s="300">
        <f t="shared" si="3"/>
        <v>0</v>
      </c>
      <c r="L49" s="290" t="str">
        <f t="shared" si="4"/>
        <v>0
0
0
0</v>
      </c>
      <c r="M49" s="233"/>
      <c r="N49" s="233"/>
      <c r="O49" s="123"/>
      <c r="P49" s="290" t="s">
        <v>99</v>
      </c>
      <c r="Q49" s="69" t="s">
        <v>100</v>
      </c>
      <c r="R49" s="272"/>
      <c r="S49" s="233"/>
      <c r="T49" s="232"/>
      <c r="U49" s="232"/>
      <c r="V49" s="239" t="s">
        <v>24</v>
      </c>
      <c r="W49" s="239">
        <f>IF($J$22=Table413[[#This Row],[Block Size]],$L$22,0)</f>
        <v>0</v>
      </c>
      <c r="X49" s="239">
        <f t="shared" si="0"/>
        <v>0</v>
      </c>
      <c r="Y49" s="239">
        <v>0.167074</v>
      </c>
      <c r="Z49" s="284"/>
      <c r="AA49" s="234"/>
    </row>
    <row r="50" spans="1:27" ht="15.75" thickBot="1" x14ac:dyDescent="0.3">
      <c r="A50" s="233">
        <f t="shared" si="5"/>
        <v>0</v>
      </c>
      <c r="B50" s="118">
        <f t="shared" si="6"/>
        <v>0</v>
      </c>
      <c r="C50" s="17">
        <v>0</v>
      </c>
      <c r="D50" s="18">
        <v>0</v>
      </c>
      <c r="E50" s="298" t="s">
        <v>10</v>
      </c>
      <c r="F50" s="18">
        <v>0</v>
      </c>
      <c r="G50" s="18">
        <v>0</v>
      </c>
      <c r="H50" s="18">
        <v>0</v>
      </c>
      <c r="I50" s="299">
        <f t="shared" si="1"/>
        <v>0</v>
      </c>
      <c r="J50" s="299">
        <f t="shared" si="2"/>
        <v>0</v>
      </c>
      <c r="K50" s="300">
        <f t="shared" si="3"/>
        <v>0</v>
      </c>
      <c r="L50" s="290" t="str">
        <f t="shared" si="4"/>
        <v>0
0
0
0</v>
      </c>
      <c r="M50" s="233"/>
      <c r="N50" s="233"/>
      <c r="O50" s="123"/>
      <c r="P50" s="232" t="s">
        <v>98</v>
      </c>
      <c r="Q50" s="69" t="s">
        <v>101</v>
      </c>
      <c r="R50" s="272"/>
      <c r="S50" s="233"/>
      <c r="T50" s="232"/>
      <c r="U50" s="232"/>
      <c r="V50" s="239" t="s">
        <v>21</v>
      </c>
      <c r="W50" s="239">
        <f>IF($J$23=Table413[[#This Row],[Block Size]],$L$23,0)</f>
        <v>0</v>
      </c>
      <c r="X50" s="239">
        <f t="shared" si="0"/>
        <v>0</v>
      </c>
      <c r="Y50" s="239">
        <v>0.13012799999999999</v>
      </c>
      <c r="Z50" s="284"/>
      <c r="AA50" s="234"/>
    </row>
    <row r="51" spans="1:27" ht="15.75" thickBot="1" x14ac:dyDescent="0.3">
      <c r="A51" s="233">
        <f t="shared" si="5"/>
        <v>0</v>
      </c>
      <c r="B51" s="118">
        <f t="shared" si="6"/>
        <v>0</v>
      </c>
      <c r="C51" s="17">
        <v>0</v>
      </c>
      <c r="D51" s="18">
        <v>0</v>
      </c>
      <c r="E51" s="298" t="s">
        <v>10</v>
      </c>
      <c r="F51" s="18">
        <v>0</v>
      </c>
      <c r="G51" s="18">
        <v>0</v>
      </c>
      <c r="H51" s="18">
        <v>0</v>
      </c>
      <c r="I51" s="299">
        <f t="shared" si="1"/>
        <v>0</v>
      </c>
      <c r="J51" s="299">
        <f t="shared" si="2"/>
        <v>0</v>
      </c>
      <c r="K51" s="300">
        <f t="shared" si="3"/>
        <v>0</v>
      </c>
      <c r="L51" s="290" t="str">
        <f t="shared" si="4"/>
        <v>0
0
0
0</v>
      </c>
      <c r="M51" s="233"/>
      <c r="N51" s="233"/>
      <c r="O51" s="123"/>
      <c r="P51" s="272"/>
      <c r="Q51" s="272"/>
      <c r="R51" s="272"/>
      <c r="S51" s="272"/>
      <c r="T51" s="272"/>
      <c r="U51" s="232"/>
      <c r="V51" s="239" t="s">
        <v>22</v>
      </c>
      <c r="W51" s="239">
        <f>IF($J$23=Table413[[#This Row],[Block Size]],$L$23,0)</f>
        <v>0</v>
      </c>
      <c r="X51" s="239">
        <f t="shared" si="0"/>
        <v>0</v>
      </c>
      <c r="Y51" s="239">
        <v>0.16305</v>
      </c>
      <c r="Z51" s="284"/>
      <c r="AA51" s="234"/>
    </row>
    <row r="52" spans="1:27" ht="15.75" thickBot="1" x14ac:dyDescent="0.3">
      <c r="A52" s="233">
        <f t="shared" si="5"/>
        <v>0</v>
      </c>
      <c r="B52" s="118">
        <f t="shared" si="6"/>
        <v>0</v>
      </c>
      <c r="C52" s="17">
        <v>0</v>
      </c>
      <c r="D52" s="18">
        <v>0</v>
      </c>
      <c r="E52" s="298" t="s">
        <v>10</v>
      </c>
      <c r="F52" s="18">
        <v>0</v>
      </c>
      <c r="G52" s="18">
        <v>0</v>
      </c>
      <c r="H52" s="18">
        <v>0</v>
      </c>
      <c r="I52" s="299">
        <f t="shared" si="1"/>
        <v>0</v>
      </c>
      <c r="J52" s="299">
        <f t="shared" si="2"/>
        <v>0</v>
      </c>
      <c r="K52" s="300">
        <f t="shared" si="3"/>
        <v>0</v>
      </c>
      <c r="L52" s="290" t="str">
        <f t="shared" si="4"/>
        <v>0
0
0
0</v>
      </c>
      <c r="M52" s="233"/>
      <c r="N52" s="233"/>
      <c r="O52" s="272"/>
      <c r="P52" s="233"/>
      <c r="Q52" s="233"/>
      <c r="R52" s="272"/>
      <c r="S52" s="272"/>
      <c r="T52" s="233"/>
      <c r="U52" s="233"/>
      <c r="V52" s="233" t="s">
        <v>205</v>
      </c>
      <c r="W52" s="239">
        <f>IF($J$20=Table413[[#This Row],[Block Size]],$L$20,0)</f>
        <v>0</v>
      </c>
      <c r="X52" s="233">
        <f t="shared" si="0"/>
        <v>0</v>
      </c>
      <c r="Y52" s="233">
        <v>5.0831000000000001E-2</v>
      </c>
      <c r="Z52" s="284"/>
      <c r="AA52" s="234"/>
    </row>
    <row r="53" spans="1:27" ht="15.75" thickBot="1" x14ac:dyDescent="0.3">
      <c r="A53" s="233">
        <f t="shared" si="5"/>
        <v>0</v>
      </c>
      <c r="B53" s="118">
        <f t="shared" si="6"/>
        <v>0</v>
      </c>
      <c r="C53" s="17">
        <v>0</v>
      </c>
      <c r="D53" s="18">
        <v>0</v>
      </c>
      <c r="E53" s="298" t="s">
        <v>10</v>
      </c>
      <c r="F53" s="18">
        <v>0</v>
      </c>
      <c r="G53" s="18">
        <v>0</v>
      </c>
      <c r="H53" s="18">
        <v>0</v>
      </c>
      <c r="I53" s="299">
        <f t="shared" si="1"/>
        <v>0</v>
      </c>
      <c r="J53" s="299">
        <f t="shared" si="2"/>
        <v>0</v>
      </c>
      <c r="K53" s="300">
        <f t="shared" si="3"/>
        <v>0</v>
      </c>
      <c r="L53" s="290" t="str">
        <f t="shared" si="4"/>
        <v>0
0
0
0</v>
      </c>
      <c r="M53" s="233"/>
      <c r="N53" s="233"/>
      <c r="O53" s="272"/>
      <c r="P53" s="233"/>
      <c r="Q53" s="233"/>
      <c r="R53" s="272"/>
      <c r="S53" s="272"/>
      <c r="T53" s="233"/>
      <c r="U53" s="233"/>
      <c r="V53" s="233" t="s">
        <v>206</v>
      </c>
      <c r="W53" s="239">
        <f>IF($J$20=Table413[[#This Row],[Block Size]],$L$20,0)</f>
        <v>0</v>
      </c>
      <c r="X53" s="233">
        <f t="shared" si="0"/>
        <v>0</v>
      </c>
      <c r="Y53" s="233">
        <v>8.4626000000000007E-2</v>
      </c>
      <c r="Z53" s="284"/>
      <c r="AA53" s="234"/>
    </row>
    <row r="54" spans="1:27" ht="15.75" thickBot="1" x14ac:dyDescent="0.3">
      <c r="A54" s="233">
        <f t="shared" si="5"/>
        <v>0</v>
      </c>
      <c r="B54" s="118">
        <f t="shared" si="6"/>
        <v>0</v>
      </c>
      <c r="C54" s="17">
        <v>0</v>
      </c>
      <c r="D54" s="18">
        <v>0</v>
      </c>
      <c r="E54" s="298" t="s">
        <v>10</v>
      </c>
      <c r="F54" s="18">
        <v>0</v>
      </c>
      <c r="G54" s="18">
        <v>0</v>
      </c>
      <c r="H54" s="18">
        <v>0</v>
      </c>
      <c r="I54" s="299">
        <f t="shared" si="1"/>
        <v>0</v>
      </c>
      <c r="J54" s="299">
        <f t="shared" si="2"/>
        <v>0</v>
      </c>
      <c r="K54" s="300">
        <f t="shared" si="3"/>
        <v>0</v>
      </c>
      <c r="L54" s="290" t="str">
        <f t="shared" si="4"/>
        <v>0
0
0
0</v>
      </c>
      <c r="M54" s="233"/>
      <c r="N54" s="233"/>
      <c r="O54" s="272"/>
      <c r="P54" s="233"/>
      <c r="Q54" s="233"/>
      <c r="R54" s="272"/>
      <c r="S54" s="272"/>
      <c r="T54" s="233"/>
      <c r="U54" s="233"/>
      <c r="V54" s="233" t="s">
        <v>288</v>
      </c>
      <c r="W54" s="233"/>
      <c r="X54" s="233">
        <f t="shared" si="0"/>
        <v>0</v>
      </c>
      <c r="Y54" s="233"/>
      <c r="Z54" s="284"/>
      <c r="AA54" s="234"/>
    </row>
    <row r="55" spans="1:27" ht="15.75" thickBot="1" x14ac:dyDescent="0.3">
      <c r="A55" s="233">
        <f t="shared" si="5"/>
        <v>0</v>
      </c>
      <c r="B55" s="118">
        <f t="shared" si="6"/>
        <v>0</v>
      </c>
      <c r="C55" s="17">
        <v>0</v>
      </c>
      <c r="D55" s="18">
        <v>0</v>
      </c>
      <c r="E55" s="298" t="s">
        <v>10</v>
      </c>
      <c r="F55" s="18">
        <v>0</v>
      </c>
      <c r="G55" s="18">
        <v>0</v>
      </c>
      <c r="H55" s="18">
        <v>0</v>
      </c>
      <c r="I55" s="299">
        <f t="shared" si="1"/>
        <v>0</v>
      </c>
      <c r="J55" s="299">
        <f t="shared" si="2"/>
        <v>0</v>
      </c>
      <c r="K55" s="300">
        <f t="shared" si="3"/>
        <v>0</v>
      </c>
      <c r="L55" s="290" t="str">
        <f t="shared" si="4"/>
        <v>0
0
0
0</v>
      </c>
      <c r="M55" s="233"/>
      <c r="N55" s="233"/>
      <c r="O55" s="272"/>
      <c r="P55" s="233"/>
      <c r="Q55" s="233"/>
      <c r="R55" s="272"/>
      <c r="S55" s="272"/>
      <c r="T55" s="233"/>
      <c r="U55" s="233"/>
      <c r="V55" s="233" t="s">
        <v>288</v>
      </c>
      <c r="W55" s="233"/>
      <c r="X55" s="233">
        <f t="shared" si="0"/>
        <v>0</v>
      </c>
      <c r="Y55" s="233"/>
      <c r="Z55" s="284"/>
      <c r="AA55" s="234"/>
    </row>
    <row r="56" spans="1:27" ht="15.75" thickBot="1" x14ac:dyDescent="0.3">
      <c r="A56" s="233">
        <f t="shared" si="5"/>
        <v>0</v>
      </c>
      <c r="B56" s="118">
        <f t="shared" si="6"/>
        <v>0</v>
      </c>
      <c r="C56" s="17">
        <v>0</v>
      </c>
      <c r="D56" s="18">
        <v>0</v>
      </c>
      <c r="E56" s="298" t="s">
        <v>10</v>
      </c>
      <c r="F56" s="18">
        <v>0</v>
      </c>
      <c r="G56" s="18">
        <v>0</v>
      </c>
      <c r="H56" s="18">
        <v>0</v>
      </c>
      <c r="I56" s="299">
        <f t="shared" si="1"/>
        <v>0</v>
      </c>
      <c r="J56" s="299">
        <f t="shared" si="2"/>
        <v>0</v>
      </c>
      <c r="K56" s="300">
        <f t="shared" si="3"/>
        <v>0</v>
      </c>
      <c r="L56" s="290" t="str">
        <f t="shared" si="4"/>
        <v>0
0
0
0</v>
      </c>
      <c r="M56" s="233"/>
      <c r="N56" s="233"/>
      <c r="O56" s="272"/>
      <c r="P56" s="233"/>
      <c r="Q56" s="233"/>
      <c r="R56" s="272"/>
      <c r="S56" s="272"/>
      <c r="T56" s="233"/>
      <c r="U56" s="233"/>
      <c r="V56" s="233"/>
      <c r="W56" s="233"/>
      <c r="X56" s="233">
        <f>SUM(Table413[Concrete Volume])</f>
        <v>0</v>
      </c>
      <c r="Y56" s="233"/>
      <c r="Z56" s="234"/>
      <c r="AA56" s="234"/>
    </row>
    <row r="57" spans="1:27" ht="15.75" thickBot="1" x14ac:dyDescent="0.3">
      <c r="A57" s="233">
        <f t="shared" si="5"/>
        <v>0</v>
      </c>
      <c r="B57" s="118">
        <f t="shared" si="6"/>
        <v>0</v>
      </c>
      <c r="C57" s="17">
        <v>0</v>
      </c>
      <c r="D57" s="18">
        <v>0</v>
      </c>
      <c r="E57" s="298" t="s">
        <v>10</v>
      </c>
      <c r="F57" s="18">
        <v>0</v>
      </c>
      <c r="G57" s="18">
        <v>0</v>
      </c>
      <c r="H57" s="18">
        <v>0</v>
      </c>
      <c r="I57" s="299">
        <f t="shared" si="1"/>
        <v>0</v>
      </c>
      <c r="J57" s="299">
        <f t="shared" si="2"/>
        <v>0</v>
      </c>
      <c r="K57" s="300">
        <f t="shared" si="3"/>
        <v>0</v>
      </c>
      <c r="L57" s="290" t="str">
        <f t="shared" si="4"/>
        <v>0
0
0
0</v>
      </c>
      <c r="M57" s="233"/>
      <c r="N57" s="233"/>
      <c r="O57" s="272"/>
      <c r="P57" s="233"/>
      <c r="Q57" s="233"/>
      <c r="R57" s="272"/>
      <c r="S57" s="272"/>
      <c r="T57" s="233"/>
      <c r="U57" s="233"/>
      <c r="V57" s="234"/>
      <c r="W57" s="234"/>
      <c r="X57" s="234"/>
      <c r="Y57" s="234"/>
      <c r="Z57" s="234"/>
      <c r="AA57" s="234"/>
    </row>
    <row r="58" spans="1:27" ht="15.75" thickBot="1" x14ac:dyDescent="0.3">
      <c r="A58" s="233">
        <f t="shared" si="5"/>
        <v>0</v>
      </c>
      <c r="B58" s="118">
        <f t="shared" si="6"/>
        <v>0</v>
      </c>
      <c r="C58" s="17">
        <v>0</v>
      </c>
      <c r="D58" s="18">
        <v>0</v>
      </c>
      <c r="E58" s="298" t="s">
        <v>10</v>
      </c>
      <c r="F58" s="18">
        <v>0</v>
      </c>
      <c r="G58" s="18">
        <v>0</v>
      </c>
      <c r="H58" s="18">
        <v>0</v>
      </c>
      <c r="I58" s="299">
        <f t="shared" si="1"/>
        <v>0</v>
      </c>
      <c r="J58" s="299">
        <f t="shared" si="2"/>
        <v>0</v>
      </c>
      <c r="K58" s="300">
        <f t="shared" si="3"/>
        <v>0</v>
      </c>
      <c r="L58" s="290" t="str">
        <f t="shared" si="4"/>
        <v>0
0
0
0</v>
      </c>
      <c r="M58" s="233"/>
      <c r="N58" s="233"/>
      <c r="O58" s="272"/>
      <c r="P58" s="233"/>
      <c r="Q58" s="233"/>
      <c r="R58" s="272"/>
      <c r="S58" s="272"/>
      <c r="T58" s="233"/>
      <c r="U58" s="233"/>
      <c r="V58" s="233"/>
      <c r="W58" s="233"/>
      <c r="X58" s="233"/>
      <c r="Y58" s="233"/>
      <c r="Z58" s="233"/>
      <c r="AA58" s="233"/>
    </row>
    <row r="59" spans="1:27" ht="15.75" thickBot="1" x14ac:dyDescent="0.3">
      <c r="A59" s="233">
        <f t="shared" si="5"/>
        <v>0</v>
      </c>
      <c r="B59" s="118">
        <f t="shared" si="6"/>
        <v>0</v>
      </c>
      <c r="C59" s="17">
        <v>0</v>
      </c>
      <c r="D59" s="18">
        <v>0</v>
      </c>
      <c r="E59" s="298" t="s">
        <v>10</v>
      </c>
      <c r="F59" s="18">
        <v>0</v>
      </c>
      <c r="G59" s="18">
        <v>0</v>
      </c>
      <c r="H59" s="18">
        <v>0</v>
      </c>
      <c r="I59" s="299">
        <f t="shared" si="1"/>
        <v>0</v>
      </c>
      <c r="J59" s="299">
        <f t="shared" si="2"/>
        <v>0</v>
      </c>
      <c r="K59" s="300">
        <f t="shared" si="3"/>
        <v>0</v>
      </c>
      <c r="L59" s="290" t="str">
        <f t="shared" si="4"/>
        <v>0
0
0
0</v>
      </c>
      <c r="M59" s="233"/>
      <c r="N59" s="233"/>
      <c r="O59" s="123"/>
      <c r="P59" s="272"/>
      <c r="Q59" s="272"/>
      <c r="R59" s="272"/>
      <c r="S59" s="301">
        <v>3</v>
      </c>
      <c r="T59" s="301">
        <v>4</v>
      </c>
      <c r="U59" s="302">
        <v>6</v>
      </c>
      <c r="V59" s="302">
        <v>8</v>
      </c>
      <c r="W59" s="233"/>
      <c r="X59" s="239"/>
      <c r="Y59" s="239"/>
      <c r="Z59" s="239"/>
      <c r="AA59" s="239"/>
    </row>
    <row r="60" spans="1:27" ht="15.75" thickBot="1" x14ac:dyDescent="0.3">
      <c r="A60" s="233">
        <f t="shared" si="5"/>
        <v>0</v>
      </c>
      <c r="B60" s="118">
        <f t="shared" si="6"/>
        <v>0</v>
      </c>
      <c r="C60" s="17">
        <v>0</v>
      </c>
      <c r="D60" s="18">
        <v>0</v>
      </c>
      <c r="E60" s="298" t="s">
        <v>10</v>
      </c>
      <c r="F60" s="18">
        <v>0</v>
      </c>
      <c r="G60" s="18">
        <v>0</v>
      </c>
      <c r="H60" s="18">
        <v>0</v>
      </c>
      <c r="I60" s="299">
        <f t="shared" si="1"/>
        <v>0</v>
      </c>
      <c r="J60" s="299">
        <f t="shared" si="2"/>
        <v>0</v>
      </c>
      <c r="K60" s="300">
        <f t="shared" si="3"/>
        <v>0</v>
      </c>
      <c r="L60" s="290" t="str">
        <f t="shared" si="4"/>
        <v>0
0
0
0</v>
      </c>
      <c r="M60" s="233"/>
      <c r="N60" s="233"/>
      <c r="O60" s="69" t="s">
        <v>156</v>
      </c>
      <c r="P60" s="232"/>
      <c r="Q60" s="232"/>
      <c r="R60" s="232"/>
      <c r="S60" s="233">
        <v>2</v>
      </c>
      <c r="T60" s="233">
        <v>3</v>
      </c>
      <c r="U60" s="232">
        <v>4</v>
      </c>
      <c r="V60" s="232">
        <v>5</v>
      </c>
      <c r="W60" s="233"/>
      <c r="X60" s="239"/>
      <c r="Y60" s="239"/>
      <c r="Z60" s="239"/>
      <c r="AA60" s="239"/>
    </row>
    <row r="61" spans="1:27" ht="15.75" thickBot="1" x14ac:dyDescent="0.3">
      <c r="A61" s="233">
        <f t="shared" si="5"/>
        <v>0</v>
      </c>
      <c r="B61" s="118">
        <f t="shared" si="6"/>
        <v>0</v>
      </c>
      <c r="C61" s="17">
        <v>0</v>
      </c>
      <c r="D61" s="18">
        <v>0</v>
      </c>
      <c r="E61" s="298" t="s">
        <v>10</v>
      </c>
      <c r="F61" s="18">
        <v>0</v>
      </c>
      <c r="G61" s="18">
        <v>0</v>
      </c>
      <c r="H61" s="18">
        <v>0</v>
      </c>
      <c r="I61" s="299">
        <f t="shared" si="1"/>
        <v>0</v>
      </c>
      <c r="J61" s="299">
        <f t="shared" si="2"/>
        <v>0</v>
      </c>
      <c r="K61" s="300">
        <f t="shared" si="3"/>
        <v>0</v>
      </c>
      <c r="L61" s="290" t="str">
        <f t="shared" si="4"/>
        <v>0
0
0
0</v>
      </c>
      <c r="M61" s="233"/>
      <c r="N61" s="233"/>
      <c r="O61" s="69" t="s">
        <v>51</v>
      </c>
      <c r="P61" s="232"/>
      <c r="Q61" s="232"/>
      <c r="R61" s="232">
        <v>2</v>
      </c>
      <c r="S61" s="239">
        <f>ROUNDUP($L$13*0.05111111,1)</f>
        <v>0</v>
      </c>
      <c r="T61" s="239">
        <f>ROUNDUP($L$13*0.0633333,1)</f>
        <v>0</v>
      </c>
      <c r="U61" s="239">
        <f>ROUNDUP($L$13*0.08777,1)</f>
        <v>0</v>
      </c>
      <c r="V61" s="239">
        <f>ROUNDUP($L$13*0.11221,1)</f>
        <v>0</v>
      </c>
      <c r="W61" s="272"/>
      <c r="X61" s="239"/>
      <c r="Y61" s="239"/>
      <c r="Z61" s="239"/>
      <c r="AA61" s="239"/>
    </row>
    <row r="62" spans="1:27" ht="15.75" thickBot="1" x14ac:dyDescent="0.3">
      <c r="A62" s="233">
        <f t="shared" si="5"/>
        <v>0</v>
      </c>
      <c r="B62" s="118">
        <f t="shared" si="6"/>
        <v>0</v>
      </c>
      <c r="C62" s="17">
        <v>0</v>
      </c>
      <c r="D62" s="18">
        <v>0</v>
      </c>
      <c r="E62" s="298" t="s">
        <v>10</v>
      </c>
      <c r="F62" s="18">
        <v>0</v>
      </c>
      <c r="G62" s="18">
        <v>0</v>
      </c>
      <c r="H62" s="18">
        <v>0</v>
      </c>
      <c r="I62" s="299">
        <f t="shared" si="1"/>
        <v>0</v>
      </c>
      <c r="J62" s="299">
        <f t="shared" si="2"/>
        <v>0</v>
      </c>
      <c r="K62" s="300">
        <f t="shared" si="3"/>
        <v>0</v>
      </c>
      <c r="L62" s="290" t="str">
        <f t="shared" si="4"/>
        <v>0
0
0
0</v>
      </c>
      <c r="M62" s="233"/>
      <c r="N62" s="233"/>
      <c r="O62" s="69" t="s">
        <v>52</v>
      </c>
      <c r="P62" s="232"/>
      <c r="Q62" s="232"/>
      <c r="R62" s="232">
        <v>3</v>
      </c>
      <c r="S62" s="239">
        <f>ROUNDUP($L$13*0.05851852,1)</f>
        <v>0</v>
      </c>
      <c r="T62" s="239">
        <f>ROUNDUP($L$13*0.07074,1)</f>
        <v>0</v>
      </c>
      <c r="U62" s="239">
        <f>ROUNDUP($L$13*0.09518,1)</f>
        <v>0</v>
      </c>
      <c r="V62" s="239">
        <f>ROUNDUP($L$13*0.11962,1)</f>
        <v>0</v>
      </c>
      <c r="W62" s="233"/>
      <c r="X62" s="239"/>
      <c r="Y62" s="239"/>
      <c r="Z62" s="239"/>
      <c r="AA62" s="233"/>
    </row>
    <row r="63" spans="1:27" ht="15.75" thickBot="1" x14ac:dyDescent="0.3">
      <c r="A63" s="233">
        <f t="shared" si="5"/>
        <v>0</v>
      </c>
      <c r="B63" s="118">
        <f t="shared" si="6"/>
        <v>0</v>
      </c>
      <c r="C63" s="17">
        <v>0</v>
      </c>
      <c r="D63" s="18">
        <v>0</v>
      </c>
      <c r="E63" s="298" t="s">
        <v>10</v>
      </c>
      <c r="F63" s="18">
        <v>0</v>
      </c>
      <c r="G63" s="18">
        <v>0</v>
      </c>
      <c r="H63" s="18">
        <v>0</v>
      </c>
      <c r="I63" s="299">
        <f t="shared" si="1"/>
        <v>0</v>
      </c>
      <c r="J63" s="299">
        <f t="shared" si="2"/>
        <v>0</v>
      </c>
      <c r="K63" s="300">
        <f t="shared" si="3"/>
        <v>0</v>
      </c>
      <c r="L63" s="290" t="str">
        <f t="shared" si="4"/>
        <v>0
0
0
0</v>
      </c>
      <c r="M63" s="233"/>
      <c r="N63" s="233"/>
      <c r="O63" s="69" t="s">
        <v>53</v>
      </c>
      <c r="P63" s="232"/>
      <c r="Q63" s="232"/>
      <c r="R63" s="232">
        <v>4</v>
      </c>
      <c r="S63" s="239">
        <f>ROUNDUP($L$13*0.06037037,1)</f>
        <v>0</v>
      </c>
      <c r="T63" s="239">
        <f>ROUNDUP($L$13*0.07259,1)</f>
        <v>0</v>
      </c>
      <c r="U63" s="239">
        <f>ROUNDUP($L$13*0.09703,1)</f>
        <v>0</v>
      </c>
      <c r="V63" s="239">
        <f>ROUNDUP($L$13*0.12147,1)</f>
        <v>0</v>
      </c>
      <c r="W63" s="233"/>
      <c r="X63" s="239"/>
      <c r="Y63" s="239"/>
      <c r="Z63" s="239"/>
      <c r="AA63" s="233"/>
    </row>
    <row r="64" spans="1:27" ht="15.75" thickBot="1" x14ac:dyDescent="0.3">
      <c r="A64" s="233">
        <f t="shared" si="5"/>
        <v>0</v>
      </c>
      <c r="B64" s="118">
        <f t="shared" si="6"/>
        <v>0</v>
      </c>
      <c r="C64" s="17">
        <v>0</v>
      </c>
      <c r="D64" s="18">
        <v>0</v>
      </c>
      <c r="E64" s="298" t="s">
        <v>10</v>
      </c>
      <c r="F64" s="18">
        <v>0</v>
      </c>
      <c r="G64" s="18">
        <v>0</v>
      </c>
      <c r="H64" s="18">
        <v>0</v>
      </c>
      <c r="I64" s="299">
        <f t="shared" si="1"/>
        <v>0</v>
      </c>
      <c r="J64" s="299">
        <f t="shared" si="2"/>
        <v>0</v>
      </c>
      <c r="K64" s="300">
        <f t="shared" si="3"/>
        <v>0</v>
      </c>
      <c r="L64" s="290" t="str">
        <f t="shared" si="4"/>
        <v>0
0
0
0</v>
      </c>
      <c r="M64" s="233"/>
      <c r="N64" s="233"/>
      <c r="O64" s="69" t="s">
        <v>157</v>
      </c>
      <c r="P64" s="232"/>
      <c r="Q64" s="232"/>
      <c r="R64" s="232">
        <v>5</v>
      </c>
      <c r="S64" s="239">
        <f>ROUNDUP($L$13*(0.0786394-0.0123456),1)</f>
        <v>0</v>
      </c>
      <c r="T64" s="239">
        <f>ROUNDUP($L$13*0.0786394,1)</f>
        <v>0</v>
      </c>
      <c r="U64" s="239">
        <f>ROUNDUP($L$13*0.10283,1)</f>
        <v>0</v>
      </c>
      <c r="V64" s="239">
        <f>ROUNDUP($L$13*0.12727,1)</f>
        <v>0</v>
      </c>
      <c r="W64" s="233"/>
      <c r="X64" s="239"/>
      <c r="Y64" s="239"/>
      <c r="Z64" s="239"/>
      <c r="AA64" s="233"/>
    </row>
    <row r="65" spans="1:27" ht="15.75" thickBot="1" x14ac:dyDescent="0.3">
      <c r="A65" s="233">
        <f t="shared" si="5"/>
        <v>0</v>
      </c>
      <c r="B65" s="118">
        <f t="shared" si="6"/>
        <v>0</v>
      </c>
      <c r="C65" s="19">
        <v>0</v>
      </c>
      <c r="D65" s="20">
        <v>0</v>
      </c>
      <c r="E65" s="305" t="s">
        <v>10</v>
      </c>
      <c r="F65" s="20">
        <v>0</v>
      </c>
      <c r="G65" s="20">
        <v>0</v>
      </c>
      <c r="H65" s="20">
        <v>0</v>
      </c>
      <c r="I65" s="306">
        <f t="shared" si="1"/>
        <v>0</v>
      </c>
      <c r="J65" s="306">
        <f t="shared" si="2"/>
        <v>0</v>
      </c>
      <c r="K65" s="307">
        <f t="shared" si="3"/>
        <v>0</v>
      </c>
      <c r="L65" s="290" t="str">
        <f t="shared" si="4"/>
        <v>0
0
0
0</v>
      </c>
      <c r="M65" s="233"/>
      <c r="N65" s="233"/>
      <c r="O65" s="69" t="s">
        <v>158</v>
      </c>
      <c r="P65" s="232"/>
      <c r="Q65" s="232"/>
      <c r="R65" s="232">
        <v>6</v>
      </c>
      <c r="S65" s="239">
        <f>ROUNDUP($L$13*(0.0842978-0.0123456),1)</f>
        <v>0</v>
      </c>
      <c r="T65" s="239">
        <f>ROUNDUP($L$13*0.0842978,1)</f>
        <v>0</v>
      </c>
      <c r="U65" s="239">
        <f>ROUNDUP($L$13*0.10873,1)</f>
        <v>0</v>
      </c>
      <c r="V65" s="239">
        <f>ROUNDUP($L$13*0.13317,1)</f>
        <v>0</v>
      </c>
      <c r="W65" s="233"/>
      <c r="X65" s="239"/>
      <c r="Y65" s="239"/>
      <c r="Z65" s="239"/>
      <c r="AA65" s="233"/>
    </row>
    <row r="66" spans="1:27" ht="15.75" thickBot="1" x14ac:dyDescent="0.3">
      <c r="A66" s="233"/>
      <c r="B66" s="233"/>
      <c r="C66" s="116"/>
      <c r="D66" s="116"/>
      <c r="E66" s="116"/>
      <c r="F66" s="116"/>
      <c r="G66" s="116"/>
      <c r="H66" s="413">
        <f>SUM(H41:H56)</f>
        <v>0</v>
      </c>
      <c r="I66" s="411" t="s">
        <v>539</v>
      </c>
      <c r="J66" s="413">
        <f>SUM(J41:J58)</f>
        <v>0</v>
      </c>
      <c r="K66" s="308">
        <f>SUM(K41:K65)</f>
        <v>0</v>
      </c>
      <c r="L66" s="290"/>
      <c r="M66" s="233"/>
      <c r="N66" s="233"/>
      <c r="O66" s="69" t="s">
        <v>159</v>
      </c>
      <c r="P66" s="232"/>
      <c r="Q66" s="232"/>
      <c r="R66" s="232">
        <v>7</v>
      </c>
      <c r="S66" s="239">
        <f>ROUNDUP($L$13*(0.0899563-0.0123456),1)</f>
        <v>0</v>
      </c>
      <c r="T66" s="239">
        <f>ROUNDUP($L$13*0.0899563,1)</f>
        <v>0</v>
      </c>
      <c r="U66" s="239">
        <f>ROUNDUP($L$13*0.11439,1)</f>
        <v>0</v>
      </c>
      <c r="V66" s="239">
        <f>ROUNDUP($L$13*0.13883,1)</f>
        <v>0</v>
      </c>
      <c r="W66" s="233"/>
      <c r="X66" s="239"/>
      <c r="Y66" s="239"/>
      <c r="Z66" s="239"/>
      <c r="AA66" s="233"/>
    </row>
    <row r="67" spans="1:27" ht="15.75" thickBot="1" x14ac:dyDescent="0.3">
      <c r="A67" s="233"/>
      <c r="B67" s="233"/>
      <c r="H67" s="275"/>
      <c r="I67" s="275" t="s">
        <v>41</v>
      </c>
      <c r="J67" s="415">
        <f>H66*4</f>
        <v>0</v>
      </c>
      <c r="K67" s="409"/>
      <c r="L67" s="290"/>
      <c r="M67" s="233"/>
      <c r="N67" s="233"/>
      <c r="O67" s="69" t="s">
        <v>160</v>
      </c>
      <c r="P67" s="232"/>
      <c r="Q67" s="232"/>
      <c r="R67" s="232">
        <v>8</v>
      </c>
      <c r="S67" s="239">
        <f>ROUNDUP($L$13*(0.0956147-0.0123456),1)</f>
        <v>0</v>
      </c>
      <c r="T67" s="239">
        <f>ROUNDUP($L$13*0.0956147,1)</f>
        <v>0</v>
      </c>
      <c r="U67" s="239">
        <f>ROUNDUP($L$13*0.12005,1)</f>
        <v>0</v>
      </c>
      <c r="V67" s="239">
        <f>ROUNDUP($L$13*0.14449,1)</f>
        <v>0</v>
      </c>
      <c r="W67" s="233"/>
      <c r="X67" s="239"/>
      <c r="Y67" s="239"/>
      <c r="Z67" s="239"/>
      <c r="AA67" s="233"/>
    </row>
    <row r="68" spans="1:27" ht="15.75" thickBot="1" x14ac:dyDescent="0.3">
      <c r="A68" s="233"/>
      <c r="B68" s="233"/>
      <c r="H68" s="279"/>
      <c r="I68" s="279" t="s">
        <v>540</v>
      </c>
      <c r="J68" s="414">
        <f>IF(OR($C$11=3, $C$11=6),ROUNDUP(A66/4,0),0)</f>
        <v>0</v>
      </c>
      <c r="K68" s="410"/>
      <c r="L68" s="290"/>
      <c r="M68" s="233"/>
      <c r="N68" s="233"/>
      <c r="O68" s="290"/>
      <c r="P68" s="233"/>
      <c r="Q68" s="233"/>
      <c r="R68" s="272"/>
      <c r="S68" s="233"/>
      <c r="T68" s="233"/>
      <c r="U68" s="272"/>
      <c r="V68" s="233"/>
      <c r="W68" s="233"/>
      <c r="X68" s="239"/>
      <c r="Y68" s="239"/>
      <c r="Z68" s="239"/>
      <c r="AA68" s="233"/>
    </row>
    <row r="69" spans="1:27" ht="16.5" thickBot="1" x14ac:dyDescent="0.3">
      <c r="A69" s="233"/>
      <c r="B69" s="233"/>
      <c r="C69" s="702" t="s">
        <v>95</v>
      </c>
      <c r="D69" s="708"/>
      <c r="E69" s="708"/>
      <c r="F69" s="708"/>
      <c r="G69" s="708"/>
      <c r="H69" s="708"/>
      <c r="I69" s="708"/>
      <c r="J69" s="708"/>
      <c r="K69" s="781"/>
      <c r="L69" s="290"/>
      <c r="M69" s="233"/>
      <c r="N69" s="233"/>
      <c r="O69" s="290"/>
      <c r="P69" s="233"/>
      <c r="Q69" s="233"/>
      <c r="R69" s="232" t="s">
        <v>70</v>
      </c>
      <c r="S69" s="233"/>
      <c r="T69" s="233"/>
      <c r="U69" s="272"/>
      <c r="V69" s="233"/>
      <c r="W69" s="233"/>
      <c r="X69" s="239"/>
      <c r="Y69" s="239"/>
      <c r="Z69" s="239"/>
      <c r="AA69" s="233"/>
    </row>
    <row r="70" spans="1:27" ht="15.75" thickBot="1" x14ac:dyDescent="0.3">
      <c r="A70" s="233"/>
      <c r="B70" s="233"/>
      <c r="C70" s="697" t="s">
        <v>60</v>
      </c>
      <c r="D70" s="698"/>
      <c r="E70" s="120"/>
      <c r="F70" s="698" t="s">
        <v>63</v>
      </c>
      <c r="G70" s="699"/>
      <c r="H70" s="121"/>
      <c r="I70" s="122"/>
      <c r="J70" s="122"/>
      <c r="K70" s="291"/>
      <c r="L70" s="290"/>
      <c r="M70" s="233"/>
      <c r="N70" s="233"/>
      <c r="O70" s="232"/>
      <c r="P70" s="233"/>
      <c r="Q70" s="233"/>
      <c r="R70" s="301">
        <v>3</v>
      </c>
      <c r="S70" s="233"/>
      <c r="T70" s="233"/>
      <c r="U70" s="272"/>
      <c r="V70" s="233"/>
      <c r="W70" s="233"/>
      <c r="X70" s="239"/>
      <c r="Y70" s="239"/>
      <c r="Z70" s="239"/>
      <c r="AA70" s="233"/>
    </row>
    <row r="71" spans="1:27" ht="15.75" thickBot="1" x14ac:dyDescent="0.3">
      <c r="A71" s="233"/>
      <c r="B71" s="233"/>
      <c r="C71" s="310" t="s">
        <v>7</v>
      </c>
      <c r="D71" s="311" t="s">
        <v>8</v>
      </c>
      <c r="E71" s="312"/>
      <c r="F71" s="311" t="s">
        <v>7</v>
      </c>
      <c r="G71" s="313" t="s">
        <v>8</v>
      </c>
      <c r="H71" s="292" t="s">
        <v>9</v>
      </c>
      <c r="I71" s="292" t="s">
        <v>103</v>
      </c>
      <c r="J71" s="294" t="s">
        <v>30</v>
      </c>
      <c r="K71" s="314" t="s">
        <v>29</v>
      </c>
      <c r="L71" s="290"/>
      <c r="M71" s="233"/>
      <c r="N71" s="233"/>
      <c r="O71" s="290"/>
      <c r="P71" s="233"/>
      <c r="Q71" s="233"/>
      <c r="R71" s="301">
        <v>4</v>
      </c>
      <c r="S71" s="233"/>
      <c r="T71" s="233"/>
      <c r="U71" s="272"/>
      <c r="V71" s="233"/>
      <c r="W71" s="233"/>
      <c r="X71" s="239"/>
      <c r="Y71" s="239"/>
      <c r="Z71" s="239"/>
      <c r="AA71" s="233"/>
    </row>
    <row r="72" spans="1:27" ht="15.75" thickBot="1" x14ac:dyDescent="0.3">
      <c r="A72" s="233">
        <f t="shared" ref="A72" si="7">B72*H72</f>
        <v>0</v>
      </c>
      <c r="B72" s="118">
        <f>IF(C72+(D72/12)&gt;0,ROUNDUP((C72+(D72/12)+3),1),0)</f>
        <v>0</v>
      </c>
      <c r="C72" s="17">
        <v>0</v>
      </c>
      <c r="D72" s="18">
        <v>0</v>
      </c>
      <c r="E72" s="295" t="s">
        <v>10</v>
      </c>
      <c r="F72" s="18">
        <v>0</v>
      </c>
      <c r="G72" s="18">
        <v>0</v>
      </c>
      <c r="H72" s="18">
        <v>0</v>
      </c>
      <c r="I72" s="296">
        <f t="shared" ref="I72:I86" si="8">ROUNDDOWN(((C72*12)+D72)*((F72*12)+G72)/144, 1)</f>
        <v>0</v>
      </c>
      <c r="J72" s="296">
        <f>ROUNDDOWN(((((C72*12+D72)/12)+((F72*12+G72)/12)*2)*H72),0)</f>
        <v>0</v>
      </c>
      <c r="K72" s="297">
        <f t="shared" ref="K72:K86" si="9">I72*H72</f>
        <v>0</v>
      </c>
      <c r="L72" s="290" t="str">
        <f t="shared" ref="L72:L86" si="10">C72&amp;CHAR(10)&amp;D72&amp;CHAR(10)&amp;F72&amp;CHAR(10)&amp;G72</f>
        <v>0
0
0
0</v>
      </c>
      <c r="M72" s="233"/>
      <c r="N72" s="233"/>
      <c r="O72" s="290"/>
      <c r="P72" s="233"/>
      <c r="Q72" s="233"/>
      <c r="R72" s="302">
        <v>6</v>
      </c>
      <c r="S72" s="233"/>
      <c r="T72" s="233"/>
      <c r="U72" s="272"/>
      <c r="V72" s="272"/>
      <c r="W72" s="233"/>
      <c r="X72" s="239"/>
      <c r="Y72" s="239"/>
      <c r="Z72" s="239"/>
      <c r="AA72" s="233"/>
    </row>
    <row r="73" spans="1:27" ht="15.75" thickBot="1" x14ac:dyDescent="0.3">
      <c r="A73" s="233">
        <f t="shared" ref="A73:A86" si="11">B73*H73</f>
        <v>0</v>
      </c>
      <c r="B73" s="118">
        <f t="shared" ref="B73:B86" si="12">IF(C73+(D73/12)&gt;0,ROUNDUP((C73+(D73/12)+3),1),0)</f>
        <v>0</v>
      </c>
      <c r="C73" s="17">
        <v>0</v>
      </c>
      <c r="D73" s="18">
        <v>0</v>
      </c>
      <c r="E73" s="298" t="s">
        <v>10</v>
      </c>
      <c r="F73" s="18">
        <v>0</v>
      </c>
      <c r="G73" s="18">
        <v>0</v>
      </c>
      <c r="H73" s="18">
        <v>0</v>
      </c>
      <c r="I73" s="299">
        <f t="shared" si="8"/>
        <v>0</v>
      </c>
      <c r="J73" s="299">
        <f t="shared" ref="J73:J85" si="13">ROUNDDOWN(((((C73*12+D73)/12)+((F73*12+G73)/12)*2)*H73),0)</f>
        <v>0</v>
      </c>
      <c r="K73" s="300">
        <f t="shared" si="9"/>
        <v>0</v>
      </c>
      <c r="L73" s="290" t="str">
        <f t="shared" si="10"/>
        <v>0
0
0
0</v>
      </c>
      <c r="M73" s="233"/>
      <c r="N73" s="233"/>
      <c r="O73" s="290"/>
      <c r="P73" s="233"/>
      <c r="Q73" s="233"/>
      <c r="R73" s="302">
        <v>8</v>
      </c>
      <c r="S73" s="233"/>
      <c r="T73" s="233"/>
      <c r="U73" s="272"/>
      <c r="V73" s="272"/>
      <c r="W73" s="233"/>
      <c r="X73" s="233"/>
      <c r="Y73" s="233"/>
      <c r="Z73" s="233"/>
      <c r="AA73" s="233"/>
    </row>
    <row r="74" spans="1:27" ht="15.75" thickBot="1" x14ac:dyDescent="0.3">
      <c r="A74" s="233">
        <f t="shared" si="11"/>
        <v>0</v>
      </c>
      <c r="B74" s="118">
        <f t="shared" si="12"/>
        <v>0</v>
      </c>
      <c r="C74" s="17">
        <v>0</v>
      </c>
      <c r="D74" s="18">
        <v>0</v>
      </c>
      <c r="E74" s="298" t="s">
        <v>10</v>
      </c>
      <c r="F74" s="18">
        <v>0</v>
      </c>
      <c r="G74" s="18">
        <v>0</v>
      </c>
      <c r="H74" s="18">
        <v>0</v>
      </c>
      <c r="I74" s="299">
        <f t="shared" si="8"/>
        <v>0</v>
      </c>
      <c r="J74" s="299">
        <f t="shared" si="13"/>
        <v>0</v>
      </c>
      <c r="K74" s="300">
        <f t="shared" si="9"/>
        <v>0</v>
      </c>
      <c r="L74" s="290" t="str">
        <f t="shared" si="10"/>
        <v>0
0
0
0</v>
      </c>
      <c r="M74" s="233"/>
      <c r="N74" s="233"/>
      <c r="O74" s="272"/>
      <c r="P74" s="233"/>
      <c r="Q74" s="233"/>
      <c r="R74" s="272"/>
      <c r="S74" s="272"/>
      <c r="T74" s="233"/>
      <c r="U74" s="233"/>
      <c r="V74" s="233"/>
      <c r="W74" s="233"/>
      <c r="X74" s="233"/>
      <c r="Y74" s="233"/>
      <c r="Z74" s="233"/>
      <c r="AA74" s="233"/>
    </row>
    <row r="75" spans="1:27" ht="15.75" thickBot="1" x14ac:dyDescent="0.3">
      <c r="A75" s="233">
        <f t="shared" si="11"/>
        <v>0</v>
      </c>
      <c r="B75" s="118">
        <f t="shared" si="12"/>
        <v>0</v>
      </c>
      <c r="C75" s="17">
        <v>0</v>
      </c>
      <c r="D75" s="18">
        <v>0</v>
      </c>
      <c r="E75" s="298" t="s">
        <v>10</v>
      </c>
      <c r="F75" s="18">
        <v>0</v>
      </c>
      <c r="G75" s="18">
        <v>0</v>
      </c>
      <c r="H75" s="18">
        <v>0</v>
      </c>
      <c r="I75" s="299">
        <f t="shared" si="8"/>
        <v>0</v>
      </c>
      <c r="J75" s="299">
        <f t="shared" si="13"/>
        <v>0</v>
      </c>
      <c r="K75" s="300">
        <f t="shared" si="9"/>
        <v>0</v>
      </c>
      <c r="L75" s="290" t="str">
        <f t="shared" si="10"/>
        <v>0
0
0
0</v>
      </c>
      <c r="M75" s="233"/>
      <c r="N75" s="233"/>
      <c r="O75" s="272"/>
      <c r="P75" s="233"/>
      <c r="Q75" s="233"/>
      <c r="R75" s="272"/>
      <c r="S75" s="272"/>
      <c r="T75" s="233"/>
      <c r="U75" s="233"/>
      <c r="V75" s="233"/>
      <c r="W75" s="233"/>
      <c r="X75" s="233"/>
      <c r="Y75" s="233"/>
      <c r="Z75" s="233"/>
      <c r="AA75" s="233"/>
    </row>
    <row r="76" spans="1:27" ht="15.75" thickBot="1" x14ac:dyDescent="0.3">
      <c r="A76" s="233">
        <f t="shared" si="11"/>
        <v>0</v>
      </c>
      <c r="B76" s="118">
        <f t="shared" si="12"/>
        <v>0</v>
      </c>
      <c r="C76" s="17">
        <v>0</v>
      </c>
      <c r="D76" s="18">
        <v>0</v>
      </c>
      <c r="E76" s="298" t="s">
        <v>10</v>
      </c>
      <c r="F76" s="18">
        <v>0</v>
      </c>
      <c r="G76" s="18">
        <v>0</v>
      </c>
      <c r="H76" s="18">
        <v>0</v>
      </c>
      <c r="I76" s="299">
        <f t="shared" si="8"/>
        <v>0</v>
      </c>
      <c r="J76" s="299">
        <f t="shared" si="13"/>
        <v>0</v>
      </c>
      <c r="K76" s="300">
        <f t="shared" si="9"/>
        <v>0</v>
      </c>
      <c r="L76" s="290" t="str">
        <f t="shared" si="10"/>
        <v>0
0
0
0</v>
      </c>
      <c r="M76" s="233"/>
      <c r="N76" s="233"/>
      <c r="O76" s="272"/>
      <c r="P76" s="233"/>
      <c r="Q76" s="233"/>
      <c r="R76" s="272"/>
      <c r="S76" s="272"/>
      <c r="T76" s="233"/>
      <c r="U76" s="233"/>
      <c r="V76" s="233"/>
      <c r="W76" s="233"/>
      <c r="X76" s="233"/>
      <c r="Y76" s="233"/>
    </row>
    <row r="77" spans="1:27" ht="15.75" thickBot="1" x14ac:dyDescent="0.3">
      <c r="A77" s="233">
        <f t="shared" si="11"/>
        <v>0</v>
      </c>
      <c r="B77" s="118">
        <f t="shared" si="12"/>
        <v>0</v>
      </c>
      <c r="C77" s="17">
        <v>0</v>
      </c>
      <c r="D77" s="18">
        <v>0</v>
      </c>
      <c r="E77" s="298" t="s">
        <v>10</v>
      </c>
      <c r="F77" s="18">
        <v>0</v>
      </c>
      <c r="G77" s="18">
        <v>0</v>
      </c>
      <c r="H77" s="18">
        <v>0</v>
      </c>
      <c r="I77" s="299">
        <f t="shared" si="8"/>
        <v>0</v>
      </c>
      <c r="J77" s="299">
        <f t="shared" si="13"/>
        <v>0</v>
      </c>
      <c r="K77" s="300">
        <f t="shared" si="9"/>
        <v>0</v>
      </c>
      <c r="L77" s="290" t="str">
        <f t="shared" si="10"/>
        <v>0
0
0
0</v>
      </c>
    </row>
    <row r="78" spans="1:27" ht="15.75" thickBot="1" x14ac:dyDescent="0.3">
      <c r="A78" s="233">
        <f t="shared" si="11"/>
        <v>0</v>
      </c>
      <c r="B78" s="118">
        <f t="shared" si="12"/>
        <v>0</v>
      </c>
      <c r="C78" s="17">
        <v>0</v>
      </c>
      <c r="D78" s="18">
        <v>0</v>
      </c>
      <c r="E78" s="298" t="s">
        <v>10</v>
      </c>
      <c r="F78" s="18">
        <v>0</v>
      </c>
      <c r="G78" s="18">
        <v>0</v>
      </c>
      <c r="H78" s="18">
        <v>0</v>
      </c>
      <c r="I78" s="299">
        <f t="shared" si="8"/>
        <v>0</v>
      </c>
      <c r="J78" s="299">
        <f t="shared" si="13"/>
        <v>0</v>
      </c>
      <c r="K78" s="300">
        <f t="shared" si="9"/>
        <v>0</v>
      </c>
      <c r="L78" s="290" t="str">
        <f t="shared" si="10"/>
        <v>0
0
0
0</v>
      </c>
    </row>
    <row r="79" spans="1:27" ht="15.75" thickBot="1" x14ac:dyDescent="0.3">
      <c r="A79" s="233">
        <f t="shared" si="11"/>
        <v>0</v>
      </c>
      <c r="B79" s="118">
        <f t="shared" si="12"/>
        <v>0</v>
      </c>
      <c r="C79" s="17">
        <v>0</v>
      </c>
      <c r="D79" s="18">
        <v>0</v>
      </c>
      <c r="E79" s="298" t="s">
        <v>10</v>
      </c>
      <c r="F79" s="18">
        <v>0</v>
      </c>
      <c r="G79" s="18">
        <v>0</v>
      </c>
      <c r="H79" s="18">
        <v>0</v>
      </c>
      <c r="I79" s="299">
        <f t="shared" si="8"/>
        <v>0</v>
      </c>
      <c r="J79" s="299">
        <f t="shared" si="13"/>
        <v>0</v>
      </c>
      <c r="K79" s="300">
        <f t="shared" si="9"/>
        <v>0</v>
      </c>
      <c r="L79" s="290" t="str">
        <f t="shared" si="10"/>
        <v>0
0
0
0</v>
      </c>
    </row>
    <row r="80" spans="1:27" ht="15.75" thickBot="1" x14ac:dyDescent="0.3">
      <c r="A80" s="233">
        <f t="shared" si="11"/>
        <v>0</v>
      </c>
      <c r="B80" s="118">
        <f t="shared" si="12"/>
        <v>0</v>
      </c>
      <c r="C80" s="17">
        <v>0</v>
      </c>
      <c r="D80" s="18">
        <v>0</v>
      </c>
      <c r="E80" s="298" t="s">
        <v>10</v>
      </c>
      <c r="F80" s="18">
        <v>0</v>
      </c>
      <c r="G80" s="18">
        <v>0</v>
      </c>
      <c r="H80" s="18">
        <v>0</v>
      </c>
      <c r="I80" s="299">
        <f t="shared" si="8"/>
        <v>0</v>
      </c>
      <c r="J80" s="299">
        <f t="shared" si="13"/>
        <v>0</v>
      </c>
      <c r="K80" s="300">
        <f t="shared" si="9"/>
        <v>0</v>
      </c>
      <c r="L80" s="290" t="str">
        <f t="shared" si="10"/>
        <v>0
0
0
0</v>
      </c>
    </row>
    <row r="81" spans="1:18" ht="15.75" thickBot="1" x14ac:dyDescent="0.3">
      <c r="A81" s="233">
        <f t="shared" si="11"/>
        <v>0</v>
      </c>
      <c r="B81" s="118">
        <f t="shared" si="12"/>
        <v>0</v>
      </c>
      <c r="C81" s="17">
        <v>0</v>
      </c>
      <c r="D81" s="18">
        <v>0</v>
      </c>
      <c r="E81" s="298" t="s">
        <v>10</v>
      </c>
      <c r="F81" s="18">
        <v>0</v>
      </c>
      <c r="G81" s="18">
        <v>0</v>
      </c>
      <c r="H81" s="18">
        <v>0</v>
      </c>
      <c r="I81" s="299">
        <f t="shared" si="8"/>
        <v>0</v>
      </c>
      <c r="J81" s="299">
        <f t="shared" si="13"/>
        <v>0</v>
      </c>
      <c r="K81" s="300">
        <f t="shared" si="9"/>
        <v>0</v>
      </c>
      <c r="L81" s="290" t="str">
        <f t="shared" si="10"/>
        <v>0
0
0
0</v>
      </c>
    </row>
    <row r="82" spans="1:18" ht="15.75" thickBot="1" x14ac:dyDescent="0.3">
      <c r="A82" s="233">
        <f t="shared" si="11"/>
        <v>0</v>
      </c>
      <c r="B82" s="118">
        <f t="shared" si="12"/>
        <v>0</v>
      </c>
      <c r="C82" s="17">
        <v>0</v>
      </c>
      <c r="D82" s="18">
        <v>0</v>
      </c>
      <c r="E82" s="298" t="s">
        <v>10</v>
      </c>
      <c r="F82" s="18">
        <v>0</v>
      </c>
      <c r="G82" s="18">
        <v>0</v>
      </c>
      <c r="H82" s="18">
        <v>0</v>
      </c>
      <c r="I82" s="299">
        <f t="shared" si="8"/>
        <v>0</v>
      </c>
      <c r="J82" s="299">
        <f t="shared" si="13"/>
        <v>0</v>
      </c>
      <c r="K82" s="300">
        <f t="shared" si="9"/>
        <v>0</v>
      </c>
      <c r="L82" s="290" t="str">
        <f t="shared" si="10"/>
        <v>0
0
0
0</v>
      </c>
    </row>
    <row r="83" spans="1:18" ht="15.75" thickBot="1" x14ac:dyDescent="0.3">
      <c r="A83" s="233">
        <f t="shared" si="11"/>
        <v>0</v>
      </c>
      <c r="B83" s="118">
        <f t="shared" si="12"/>
        <v>0</v>
      </c>
      <c r="C83" s="17">
        <v>0</v>
      </c>
      <c r="D83" s="18">
        <v>0</v>
      </c>
      <c r="E83" s="298" t="s">
        <v>10</v>
      </c>
      <c r="F83" s="18">
        <v>0</v>
      </c>
      <c r="G83" s="18">
        <v>0</v>
      </c>
      <c r="H83" s="18">
        <v>0</v>
      </c>
      <c r="I83" s="299">
        <f t="shared" si="8"/>
        <v>0</v>
      </c>
      <c r="J83" s="299">
        <f t="shared" si="13"/>
        <v>0</v>
      </c>
      <c r="K83" s="300">
        <f t="shared" si="9"/>
        <v>0</v>
      </c>
      <c r="L83" s="290" t="str">
        <f t="shared" si="10"/>
        <v>0
0
0
0</v>
      </c>
    </row>
    <row r="84" spans="1:18" ht="15.75" thickBot="1" x14ac:dyDescent="0.3">
      <c r="A84" s="233">
        <f t="shared" si="11"/>
        <v>0</v>
      </c>
      <c r="B84" s="118">
        <f t="shared" si="12"/>
        <v>0</v>
      </c>
      <c r="C84" s="17">
        <v>0</v>
      </c>
      <c r="D84" s="18">
        <v>0</v>
      </c>
      <c r="E84" s="298" t="s">
        <v>10</v>
      </c>
      <c r="F84" s="18">
        <v>0</v>
      </c>
      <c r="G84" s="18">
        <v>0</v>
      </c>
      <c r="H84" s="18">
        <v>0</v>
      </c>
      <c r="I84" s="299">
        <f t="shared" si="8"/>
        <v>0</v>
      </c>
      <c r="J84" s="299">
        <f t="shared" si="13"/>
        <v>0</v>
      </c>
      <c r="K84" s="300">
        <f t="shared" si="9"/>
        <v>0</v>
      </c>
      <c r="L84" s="290" t="str">
        <f t="shared" si="10"/>
        <v>0
0
0
0</v>
      </c>
    </row>
    <row r="85" spans="1:18" ht="15.75" thickBot="1" x14ac:dyDescent="0.3">
      <c r="A85" s="233">
        <f t="shared" si="11"/>
        <v>0</v>
      </c>
      <c r="B85" s="118">
        <f t="shared" si="12"/>
        <v>0</v>
      </c>
      <c r="C85" s="17">
        <v>0</v>
      </c>
      <c r="D85" s="18">
        <v>0</v>
      </c>
      <c r="E85" s="298" t="s">
        <v>10</v>
      </c>
      <c r="F85" s="18">
        <v>0</v>
      </c>
      <c r="G85" s="18">
        <v>0</v>
      </c>
      <c r="H85" s="18">
        <v>0</v>
      </c>
      <c r="I85" s="299">
        <f t="shared" si="8"/>
        <v>0</v>
      </c>
      <c r="J85" s="299">
        <f t="shared" si="13"/>
        <v>0</v>
      </c>
      <c r="K85" s="300">
        <f t="shared" si="9"/>
        <v>0</v>
      </c>
      <c r="L85" s="290" t="str">
        <f t="shared" si="10"/>
        <v>0
0
0
0</v>
      </c>
    </row>
    <row r="86" spans="1:18" ht="15.75" thickBot="1" x14ac:dyDescent="0.3">
      <c r="A86" s="233">
        <f t="shared" si="11"/>
        <v>0</v>
      </c>
      <c r="B86" s="118">
        <f t="shared" si="12"/>
        <v>0</v>
      </c>
      <c r="C86" s="19">
        <v>0</v>
      </c>
      <c r="D86" s="20">
        <v>0</v>
      </c>
      <c r="E86" s="305" t="s">
        <v>10</v>
      </c>
      <c r="F86" s="20">
        <v>0</v>
      </c>
      <c r="G86" s="20">
        <v>0</v>
      </c>
      <c r="H86" s="20">
        <v>0</v>
      </c>
      <c r="I86" s="306">
        <f t="shared" si="8"/>
        <v>0</v>
      </c>
      <c r="J86" s="306">
        <f>ROUNDUP(((((C86*12+D86)/12)+((F86*12+G86)/12)*2)*H86),0)</f>
        <v>0</v>
      </c>
      <c r="K86" s="307">
        <f t="shared" si="9"/>
        <v>0</v>
      </c>
      <c r="L86" s="290" t="str">
        <f t="shared" si="10"/>
        <v>0
0
0
0</v>
      </c>
    </row>
    <row r="87" spans="1:18" ht="15.75" thickBot="1" x14ac:dyDescent="0.3">
      <c r="C87" s="116"/>
      <c r="D87" s="116"/>
      <c r="E87" s="116"/>
      <c r="F87" s="116"/>
      <c r="G87" s="116"/>
      <c r="H87" s="413">
        <f>SUM(H72:H81)</f>
        <v>0</v>
      </c>
      <c r="I87" s="411" t="s">
        <v>539</v>
      </c>
      <c r="J87" s="416">
        <f>SUM(J72:J81)</f>
        <v>0</v>
      </c>
      <c r="K87" s="308">
        <f>SUM(K72:K86)</f>
        <v>0</v>
      </c>
    </row>
    <row r="88" spans="1:18" ht="15.75" thickBot="1" x14ac:dyDescent="0.3">
      <c r="A88" s="412"/>
      <c r="B88" s="412"/>
      <c r="H88" s="275"/>
      <c r="I88" s="275" t="s">
        <v>41</v>
      </c>
      <c r="J88" s="415">
        <f>H87*2</f>
        <v>0</v>
      </c>
      <c r="K88" s="409"/>
      <c r="M88" s="352">
        <v>4</v>
      </c>
      <c r="N88" s="352"/>
      <c r="O88" s="304"/>
      <c r="P88" s="304"/>
      <c r="Q88" s="304"/>
      <c r="R88" s="304"/>
    </row>
    <row r="89" spans="1:18" ht="15.75" thickBot="1" x14ac:dyDescent="0.3">
      <c r="H89" s="279"/>
      <c r="I89" s="279" t="s">
        <v>540</v>
      </c>
      <c r="J89" s="414">
        <f>IF(OR($C$11=3, $C$11=6),ROUNDUP(A87/4,0),0)</f>
        <v>0</v>
      </c>
      <c r="K89" s="410"/>
      <c r="M89" s="352">
        <v>6</v>
      </c>
      <c r="N89" s="352"/>
      <c r="O89" s="304"/>
      <c r="P89" s="304"/>
      <c r="Q89" s="304"/>
      <c r="R89" s="304"/>
    </row>
    <row r="90" spans="1:18" x14ac:dyDescent="0.25">
      <c r="M90" s="352">
        <v>8</v>
      </c>
      <c r="N90" s="352"/>
      <c r="O90" s="304"/>
      <c r="P90" s="304"/>
      <c r="Q90" s="304"/>
      <c r="R90" s="304"/>
    </row>
    <row r="91" spans="1:18" ht="15.75" thickBot="1" x14ac:dyDescent="0.3">
      <c r="M91" s="353"/>
      <c r="N91" s="353"/>
      <c r="O91" s="304"/>
      <c r="P91" s="304"/>
      <c r="Q91" s="304"/>
      <c r="R91" s="304"/>
    </row>
    <row r="92" spans="1:18" ht="19.5" thickBot="1" x14ac:dyDescent="0.35">
      <c r="C92" s="729" t="s">
        <v>162</v>
      </c>
      <c r="D92" s="730"/>
      <c r="E92" s="730"/>
      <c r="F92" s="730"/>
      <c r="G92" s="730"/>
      <c r="H92" s="730"/>
      <c r="I92" s="730"/>
      <c r="J92" s="730"/>
      <c r="K92" s="731"/>
      <c r="M92" s="353"/>
      <c r="N92" s="353"/>
      <c r="O92" s="304"/>
      <c r="P92" s="304"/>
      <c r="Q92" s="304"/>
      <c r="R92" s="304"/>
    </row>
    <row r="93" spans="1:18" ht="15.75" thickBot="1" x14ac:dyDescent="0.3">
      <c r="M93" s="353"/>
      <c r="N93" s="353"/>
      <c r="O93" s="304"/>
      <c r="P93" s="304"/>
      <c r="Q93" s="304"/>
      <c r="R93" s="304"/>
    </row>
    <row r="94" spans="1:18" ht="15.75" thickBot="1" x14ac:dyDescent="0.3">
      <c r="C94" s="658" t="s">
        <v>164</v>
      </c>
      <c r="D94" s="659"/>
      <c r="E94" s="659"/>
      <c r="F94" s="659"/>
      <c r="G94" s="659"/>
      <c r="H94" s="660"/>
      <c r="J94" s="677" t="s">
        <v>172</v>
      </c>
      <c r="K94" s="678"/>
      <c r="L94" s="309">
        <f>(40*(K94/8))</f>
        <v>0</v>
      </c>
      <c r="P94" s="284"/>
      <c r="Q94" s="284"/>
    </row>
    <row r="95" spans="1:18" x14ac:dyDescent="0.25">
      <c r="C95" s="695" t="s">
        <v>165</v>
      </c>
      <c r="D95" s="696"/>
      <c r="E95" s="423"/>
      <c r="F95" s="221">
        <v>5</v>
      </c>
      <c r="G95" s="424"/>
      <c r="H95" s="425">
        <v>3</v>
      </c>
      <c r="J95" s="430" t="s">
        <v>173</v>
      </c>
      <c r="K95" s="222">
        <v>5</v>
      </c>
      <c r="L95" s="232">
        <f>2*(40*(K95/8))</f>
        <v>50</v>
      </c>
      <c r="P95" s="284"/>
      <c r="Q95" s="284"/>
    </row>
    <row r="96" spans="1:18" x14ac:dyDescent="0.25">
      <c r="C96" s="679" t="s">
        <v>163</v>
      </c>
      <c r="D96" s="680"/>
      <c r="E96" s="426"/>
      <c r="F96" s="223">
        <v>0</v>
      </c>
      <c r="G96" s="427" t="e">
        <f>F102*12/F96</f>
        <v>#DIV/0!</v>
      </c>
      <c r="H96" s="428">
        <v>4</v>
      </c>
      <c r="J96" s="262" t="s">
        <v>11</v>
      </c>
      <c r="K96" s="319">
        <f>C13+(D13/12)</f>
        <v>0</v>
      </c>
      <c r="L96" s="232">
        <f>K96+(L95/12)</f>
        <v>4.166666666666667</v>
      </c>
      <c r="P96" s="284"/>
      <c r="Q96" s="284"/>
    </row>
    <row r="97" spans="2:17" x14ac:dyDescent="0.25">
      <c r="C97" s="679" t="s">
        <v>166</v>
      </c>
      <c r="D97" s="680"/>
      <c r="E97" s="426"/>
      <c r="F97" s="223">
        <v>4</v>
      </c>
      <c r="G97" s="429" t="e">
        <f>ROUNDUP((F101*G96/12)/F103,0)</f>
        <v>#DIV/0!</v>
      </c>
      <c r="H97" s="428">
        <v>5</v>
      </c>
      <c r="J97" s="262" t="s">
        <v>170</v>
      </c>
      <c r="K97" s="320">
        <f>C15</f>
        <v>0</v>
      </c>
      <c r="L97" s="232" t="e">
        <f>K97/(K99/12)</f>
        <v>#DIV/0!</v>
      </c>
      <c r="P97" s="284"/>
      <c r="Q97" s="284"/>
    </row>
    <row r="98" spans="2:17" x14ac:dyDescent="0.25">
      <c r="C98" s="679" t="s">
        <v>167</v>
      </c>
      <c r="D98" s="680"/>
      <c r="E98" s="426"/>
      <c r="F98" s="223">
        <v>8</v>
      </c>
      <c r="G98" s="427"/>
      <c r="H98" s="428">
        <v>6</v>
      </c>
      <c r="J98" s="262" t="s">
        <v>176</v>
      </c>
      <c r="K98" s="321">
        <v>20</v>
      </c>
      <c r="L98" s="232" t="e">
        <f>L97*L96</f>
        <v>#DIV/0!</v>
      </c>
      <c r="P98" s="284"/>
      <c r="Q98" s="284"/>
    </row>
    <row r="99" spans="2:17" x14ac:dyDescent="0.25">
      <c r="C99" s="693" t="s">
        <v>168</v>
      </c>
      <c r="D99" s="694"/>
      <c r="E99" s="265"/>
      <c r="F99" s="322">
        <f>40*(F95/8)</f>
        <v>25</v>
      </c>
      <c r="G99" s="317"/>
      <c r="H99" s="318">
        <v>7</v>
      </c>
      <c r="J99" s="323" t="s">
        <v>178</v>
      </c>
      <c r="K99" s="224">
        <v>0</v>
      </c>
      <c r="L99" s="232" t="e">
        <f>ROUNDUP(L98/K98,0)</f>
        <v>#DIV/0!</v>
      </c>
    </row>
    <row r="100" spans="2:17" ht="15.75" thickBot="1" x14ac:dyDescent="0.3">
      <c r="C100" s="693" t="s">
        <v>169</v>
      </c>
      <c r="D100" s="694"/>
      <c r="E100" s="265"/>
      <c r="F100" s="324">
        <f>6*(F95/8)</f>
        <v>3.75</v>
      </c>
      <c r="G100" s="317">
        <f>ROUNDUP((2*PI()*F100)*(90/360),0)</f>
        <v>6</v>
      </c>
      <c r="H100" s="318">
        <v>8</v>
      </c>
      <c r="J100" s="325" t="s">
        <v>171</v>
      </c>
      <c r="K100" s="225" t="e">
        <f>L99</f>
        <v>#DIV/0!</v>
      </c>
    </row>
    <row r="101" spans="2:17" x14ac:dyDescent="0.25">
      <c r="C101" s="693" t="s">
        <v>59</v>
      </c>
      <c r="D101" s="694"/>
      <c r="E101" s="265"/>
      <c r="F101" s="322">
        <f>SUM(F97,F98,F99,G100)</f>
        <v>43</v>
      </c>
      <c r="G101" s="317"/>
      <c r="H101" s="318"/>
      <c r="K101" s="431"/>
    </row>
    <row r="102" spans="2:17" x14ac:dyDescent="0.25">
      <c r="C102" s="693" t="s">
        <v>170</v>
      </c>
      <c r="D102" s="694"/>
      <c r="E102" s="265"/>
      <c r="F102" s="327">
        <f>C15</f>
        <v>0</v>
      </c>
      <c r="G102" s="317"/>
      <c r="H102" s="318"/>
    </row>
    <row r="103" spans="2:17" x14ac:dyDescent="0.25">
      <c r="C103" s="262" t="s">
        <v>176</v>
      </c>
      <c r="D103" s="265"/>
      <c r="E103" s="265"/>
      <c r="F103" s="328">
        <v>20</v>
      </c>
      <c r="G103" s="329"/>
      <c r="H103" s="330"/>
    </row>
    <row r="104" spans="2:17" x14ac:dyDescent="0.25">
      <c r="C104" s="727"/>
      <c r="D104" s="728"/>
      <c r="E104" s="265"/>
      <c r="F104" s="331"/>
      <c r="G104" s="329"/>
      <c r="H104" s="330"/>
    </row>
    <row r="105" spans="2:17" ht="15.75" thickBot="1" x14ac:dyDescent="0.3">
      <c r="C105" s="742" t="s">
        <v>171</v>
      </c>
      <c r="D105" s="743"/>
      <c r="E105" s="332"/>
      <c r="F105" s="333" t="e">
        <f>G97</f>
        <v>#DIV/0!</v>
      </c>
      <c r="G105" s="334"/>
      <c r="H105" s="335"/>
    </row>
    <row r="107" spans="2:17" ht="15.75" thickBot="1" x14ac:dyDescent="0.3">
      <c r="B107" s="21"/>
    </row>
    <row r="108" spans="2:17" ht="15.75" thickBot="1" x14ac:dyDescent="0.3">
      <c r="C108" s="658" t="s">
        <v>174</v>
      </c>
      <c r="D108" s="659"/>
      <c r="E108" s="659"/>
      <c r="F108" s="659"/>
      <c r="G108" s="659"/>
      <c r="H108" s="660"/>
      <c r="J108" s="658" t="s">
        <v>179</v>
      </c>
      <c r="K108" s="660"/>
    </row>
    <row r="109" spans="2:17" x14ac:dyDescent="0.25">
      <c r="C109" s="681" t="s">
        <v>165</v>
      </c>
      <c r="D109" s="682"/>
      <c r="E109" s="683"/>
      <c r="F109" s="226">
        <v>4</v>
      </c>
      <c r="G109" s="336">
        <v>3</v>
      </c>
      <c r="H109" s="337"/>
      <c r="J109" s="256" t="s">
        <v>182</v>
      </c>
      <c r="K109" s="338">
        <f>L13</f>
        <v>0</v>
      </c>
    </row>
    <row r="110" spans="2:17" x14ac:dyDescent="0.25">
      <c r="C110" s="684" t="s">
        <v>11</v>
      </c>
      <c r="D110" s="685"/>
      <c r="E110" s="686"/>
      <c r="F110" s="339">
        <f>C13+(D13/12)</f>
        <v>0</v>
      </c>
      <c r="G110" s="336">
        <v>4</v>
      </c>
      <c r="H110" s="337"/>
      <c r="J110" s="262" t="s">
        <v>181</v>
      </c>
      <c r="K110" s="360">
        <v>4</v>
      </c>
    </row>
    <row r="111" spans="2:17" x14ac:dyDescent="0.25">
      <c r="C111" s="684" t="s">
        <v>170</v>
      </c>
      <c r="D111" s="685"/>
      <c r="E111" s="686"/>
      <c r="F111" s="340">
        <f>C15</f>
        <v>0</v>
      </c>
      <c r="G111" s="336">
        <v>5</v>
      </c>
      <c r="H111" s="337"/>
      <c r="J111" s="262" t="s">
        <v>180</v>
      </c>
      <c r="K111" s="359">
        <v>5</v>
      </c>
    </row>
    <row r="112" spans="2:17" x14ac:dyDescent="0.25">
      <c r="C112" s="684" t="s">
        <v>197</v>
      </c>
      <c r="D112" s="685"/>
      <c r="E112" s="686"/>
      <c r="F112" s="227">
        <v>32</v>
      </c>
      <c r="G112" s="336">
        <v>6</v>
      </c>
      <c r="H112" s="337"/>
      <c r="J112" s="262" t="s">
        <v>183</v>
      </c>
      <c r="K112" s="341">
        <f>ROUNDUP((K109*9)/20,0)</f>
        <v>0</v>
      </c>
    </row>
    <row r="113" spans="3:11" ht="15.75" thickBot="1" x14ac:dyDescent="0.3">
      <c r="C113" s="687" t="s">
        <v>198</v>
      </c>
      <c r="D113" s="688"/>
      <c r="E113" s="689"/>
      <c r="F113" s="342">
        <f>F110/(F112/12)</f>
        <v>0</v>
      </c>
      <c r="G113" s="336">
        <v>7</v>
      </c>
      <c r="H113" s="337"/>
      <c r="J113" s="325" t="s">
        <v>184</v>
      </c>
      <c r="K113" s="343">
        <f>ROUNDUP((K109*5)/20,0)</f>
        <v>0</v>
      </c>
    </row>
    <row r="114" spans="3:11" x14ac:dyDescent="0.25">
      <c r="C114" s="684" t="s">
        <v>196</v>
      </c>
      <c r="D114" s="685"/>
      <c r="E114" s="686"/>
      <c r="F114" s="344">
        <f>IF(F110&lt;4,2,IF(F110&gt;8,4,3))</f>
        <v>2</v>
      </c>
      <c r="G114" s="336">
        <v>8</v>
      </c>
      <c r="H114" s="337"/>
      <c r="K114" s="345"/>
    </row>
    <row r="115" spans="3:11" ht="15.75" thickBot="1" x14ac:dyDescent="0.3">
      <c r="C115" s="687" t="s">
        <v>175</v>
      </c>
      <c r="D115" s="688"/>
      <c r="E115" s="689"/>
      <c r="F115" s="228">
        <v>0</v>
      </c>
      <c r="G115" s="346">
        <f>F111/F116*F115</f>
        <v>0</v>
      </c>
      <c r="H115" s="347"/>
    </row>
    <row r="116" spans="3:11" x14ac:dyDescent="0.25">
      <c r="C116" s="684" t="s">
        <v>176</v>
      </c>
      <c r="D116" s="685"/>
      <c r="E116" s="686"/>
      <c r="F116" s="340">
        <v>20</v>
      </c>
      <c r="G116" s="193"/>
      <c r="H116" s="193"/>
    </row>
    <row r="117" spans="3:11" x14ac:dyDescent="0.25">
      <c r="C117" s="684" t="s">
        <v>177</v>
      </c>
      <c r="D117" s="685"/>
      <c r="E117" s="686"/>
      <c r="F117" s="344">
        <f>40*(F109/8)</f>
        <v>20</v>
      </c>
      <c r="G117" s="193"/>
      <c r="H117" s="193"/>
    </row>
    <row r="118" spans="3:11" ht="15.75" thickBot="1" x14ac:dyDescent="0.3">
      <c r="C118" s="690" t="s">
        <v>171</v>
      </c>
      <c r="D118" s="691"/>
      <c r="E118" s="692"/>
      <c r="F118" s="348">
        <f>ROUNDUP((F111*F115+(G115*F117*2/12))/F116,0)</f>
        <v>0</v>
      </c>
      <c r="G118" s="193"/>
      <c r="H118" s="193"/>
    </row>
  </sheetData>
  <sheetProtection sheet="1" objects="1" scenarios="1" selectLockedCells="1"/>
  <dataConsolidate/>
  <mergeCells count="86">
    <mergeCell ref="F14:G14"/>
    <mergeCell ref="H14:I14"/>
    <mergeCell ref="C110:E110"/>
    <mergeCell ref="C111:E111"/>
    <mergeCell ref="C112:E112"/>
    <mergeCell ref="B33:C33"/>
    <mergeCell ref="D33:F33"/>
    <mergeCell ref="I33:L33"/>
    <mergeCell ref="C38:K38"/>
    <mergeCell ref="C39:D39"/>
    <mergeCell ref="F39:G39"/>
    <mergeCell ref="B32:C32"/>
    <mergeCell ref="I32:J32"/>
    <mergeCell ref="K32:L32"/>
    <mergeCell ref="B27:C27"/>
    <mergeCell ref="F27:G27"/>
    <mergeCell ref="J94:K94"/>
    <mergeCell ref="C102:D102"/>
    <mergeCell ref="C105:D105"/>
    <mergeCell ref="C109:E109"/>
    <mergeCell ref="C108:H108"/>
    <mergeCell ref="J108:K108"/>
    <mergeCell ref="F18:G18"/>
    <mergeCell ref="B21:C21"/>
    <mergeCell ref="F22:G22"/>
    <mergeCell ref="F24:G24"/>
    <mergeCell ref="J18:K18"/>
    <mergeCell ref="J19:K19"/>
    <mergeCell ref="J20:K20"/>
    <mergeCell ref="J21:K21"/>
    <mergeCell ref="J22:K22"/>
    <mergeCell ref="J23:K23"/>
    <mergeCell ref="J24:K24"/>
    <mergeCell ref="H8:I8"/>
    <mergeCell ref="K8:L8"/>
    <mergeCell ref="C9:G9"/>
    <mergeCell ref="H9:I9"/>
    <mergeCell ref="K9:L9"/>
    <mergeCell ref="B16:C16"/>
    <mergeCell ref="F16:G16"/>
    <mergeCell ref="J16:K16"/>
    <mergeCell ref="J17:L17"/>
    <mergeCell ref="C6:F6"/>
    <mergeCell ref="H6:I6"/>
    <mergeCell ref="J6:L6"/>
    <mergeCell ref="C7:G7"/>
    <mergeCell ref="H7:I7"/>
    <mergeCell ref="K7:L7"/>
    <mergeCell ref="B10:D10"/>
    <mergeCell ref="F10:G10"/>
    <mergeCell ref="J10:L10"/>
    <mergeCell ref="F15:G15"/>
    <mergeCell ref="H15:I15"/>
    <mergeCell ref="C8:G8"/>
    <mergeCell ref="J25:K25"/>
    <mergeCell ref="J26:K26"/>
    <mergeCell ref="J27:K27"/>
    <mergeCell ref="J28:K28"/>
    <mergeCell ref="C100:D100"/>
    <mergeCell ref="F25:G25"/>
    <mergeCell ref="E28:H28"/>
    <mergeCell ref="B29:C29"/>
    <mergeCell ref="E29:F29"/>
    <mergeCell ref="I29:J29"/>
    <mergeCell ref="B30:D30"/>
    <mergeCell ref="E30:F30"/>
    <mergeCell ref="I30:J30"/>
    <mergeCell ref="C69:K69"/>
    <mergeCell ref="C70:D70"/>
    <mergeCell ref="F70:G70"/>
    <mergeCell ref="K31:L31"/>
    <mergeCell ref="C116:E116"/>
    <mergeCell ref="C117:E117"/>
    <mergeCell ref="C118:E118"/>
    <mergeCell ref="C101:D101"/>
    <mergeCell ref="C104:D104"/>
    <mergeCell ref="C114:E114"/>
    <mergeCell ref="C115:E115"/>
    <mergeCell ref="C113:E113"/>
    <mergeCell ref="C92:K92"/>
    <mergeCell ref="C99:D99"/>
    <mergeCell ref="C95:D95"/>
    <mergeCell ref="C96:D96"/>
    <mergeCell ref="C97:D97"/>
    <mergeCell ref="C98:D98"/>
    <mergeCell ref="C94:H94"/>
  </mergeCells>
  <dataValidations count="6">
    <dataValidation type="list" allowBlank="1" showInputMessage="1" showErrorMessage="1" sqref="H29:H30" xr:uid="{00000000-0002-0000-0A00-000000000000}">
      <formula1>$H$18:$H$22</formula1>
    </dataValidation>
    <dataValidation allowBlank="1" showInputMessage="1" showErrorMessage="1" promptTitle="Length" prompt="Length in Feet" sqref="K12" xr:uid="{00000000-0002-0000-0A00-000001000000}"/>
    <dataValidation allowBlank="1" showInputMessage="1" showErrorMessage="1" promptTitle="Width" prompt="Width in Feet" sqref="K13" xr:uid="{00000000-0002-0000-0A00-000002000000}"/>
    <dataValidation allowBlank="1" showInputMessage="1" showErrorMessage="1" sqref="K7:L7" xr:uid="{00000000-0002-0000-0A00-000003000000}"/>
    <dataValidation type="list" allowBlank="1" showInputMessage="1" showErrorMessage="1" sqref="F109" xr:uid="{00000000-0002-0000-0A00-000004000000}">
      <formula1>$G$109:$G$114</formula1>
    </dataValidation>
    <dataValidation type="list" allowBlank="1" showInputMessage="1" showErrorMessage="1" sqref="F95 K95" xr:uid="{00000000-0002-0000-0A00-000005000000}">
      <formula1>$H$95:$H$100</formula1>
    </dataValidation>
  </dataValidations>
  <hyperlinks>
    <hyperlink ref="F16:G16" r:id="rId1" display="Tamko TW-60" xr:uid="{00000000-0004-0000-0A00-000000000000}"/>
    <hyperlink ref="F18:G18" r:id="rId2" display="DMX (DMX-244-20)" xr:uid="{00000000-0004-0000-0A00-000001000000}"/>
    <hyperlink ref="B10:D10" r:id="rId3" display="Build Block" xr:uid="{00000000-0004-0000-0A00-000002000000}"/>
    <hyperlink ref="J10:L10" r:id="rId4" display="Build Deck" xr:uid="{00000000-0004-0000-0A00-000003000000}"/>
    <hyperlink ref="F22:G22" r:id="rId5" display="Custom Corner" xr:uid="{00000000-0004-0000-0A00-000004000000}"/>
    <hyperlink ref="F25:G25" r:id="rId6" display="Custom Corner" xr:uid="{00000000-0004-0000-0A00-000005000000}"/>
  </hyperlinks>
  <pageMargins left="0.7" right="0.7"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43009" r:id="rId10" name="Drop Down 1">
              <controlPr defaultSize="0" autoLine="0" autoPict="0">
                <anchor moveWithCells="1">
                  <from>
                    <xdr:col>2</xdr:col>
                    <xdr:colOff>9525</xdr:colOff>
                    <xdr:row>10</xdr:row>
                    <xdr:rowOff>9525</xdr:rowOff>
                  </from>
                  <to>
                    <xdr:col>4</xdr:col>
                    <xdr:colOff>0</xdr:colOff>
                    <xdr:row>10</xdr:row>
                    <xdr:rowOff>190500</xdr:rowOff>
                  </to>
                </anchor>
              </controlPr>
            </control>
          </mc:Choice>
        </mc:AlternateContent>
        <mc:AlternateContent xmlns:mc="http://schemas.openxmlformats.org/markup-compatibility/2006">
          <mc:Choice Requires="x14">
            <control shapeId="43010" r:id="rId11" name="Drop Down 2">
              <controlPr defaultSize="0" autoLine="0" autoPict="0">
                <anchor moveWithCells="1">
                  <from>
                    <xdr:col>4</xdr:col>
                    <xdr:colOff>190500</xdr:colOff>
                    <xdr:row>9</xdr:row>
                    <xdr:rowOff>9525</xdr:rowOff>
                  </from>
                  <to>
                    <xdr:col>7</xdr:col>
                    <xdr:colOff>0</xdr:colOff>
                    <xdr:row>10</xdr:row>
                    <xdr:rowOff>19050</xdr:rowOff>
                  </to>
                </anchor>
              </controlPr>
            </control>
          </mc:Choice>
        </mc:AlternateContent>
        <mc:AlternateContent xmlns:mc="http://schemas.openxmlformats.org/markup-compatibility/2006">
          <mc:Choice Requires="x14">
            <control shapeId="43011" r:id="rId12" name="Drop Down 3">
              <controlPr locked="0" defaultSize="0" autoLine="0" autoPict="0">
                <anchor moveWithCells="1">
                  <from>
                    <xdr:col>9</xdr:col>
                    <xdr:colOff>9525</xdr:colOff>
                    <xdr:row>10</xdr:row>
                    <xdr:rowOff>0</xdr:rowOff>
                  </from>
                  <to>
                    <xdr:col>11</xdr:col>
                    <xdr:colOff>57150</xdr:colOff>
                    <xdr:row>11</xdr:row>
                    <xdr:rowOff>0</xdr:rowOff>
                  </to>
                </anchor>
              </controlPr>
            </control>
          </mc:Choice>
        </mc:AlternateContent>
        <mc:AlternateContent xmlns:mc="http://schemas.openxmlformats.org/markup-compatibility/2006">
          <mc:Choice Requires="x14">
            <control shapeId="43012" r:id="rId13" name="Drop Down 4">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3013" r:id="rId14" name="Drop Down 5">
              <controlPr defaultSize="0" autoLine="0" autoPict="0">
                <anchor moveWithCells="1">
                  <from>
                    <xdr:col>3</xdr:col>
                    <xdr:colOff>9525</xdr:colOff>
                    <xdr:row>23</xdr:row>
                    <xdr:rowOff>180975</xdr:rowOff>
                  </from>
                  <to>
                    <xdr:col>5</xdr:col>
                    <xdr:colOff>0</xdr:colOff>
                    <xdr:row>24</xdr:row>
                    <xdr:rowOff>180975</xdr:rowOff>
                  </to>
                </anchor>
              </controlPr>
            </control>
          </mc:Choice>
        </mc:AlternateContent>
        <mc:AlternateContent xmlns:mc="http://schemas.openxmlformats.org/markup-compatibility/2006">
          <mc:Choice Requires="x14">
            <control shapeId="43014" r:id="rId15" name="Drop Down 6">
              <controlPr defaultSize="0" autoLine="0" autoPict="0">
                <anchor moveWithCells="1">
                  <from>
                    <xdr:col>3</xdr:col>
                    <xdr:colOff>9525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3015" r:id="rId16" name="Drop Down 7">
              <controlPr defaultSize="0" autoLine="0" autoPict="0">
                <anchor moveWithCells="1">
                  <from>
                    <xdr:col>3</xdr:col>
                    <xdr:colOff>9525</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43016" r:id="rId17" name="Drop Down 8">
              <controlPr defaultSize="0" autoLine="0" autoPict="0">
                <anchor moveWithCells="1">
                  <from>
                    <xdr:col>5</xdr:col>
                    <xdr:colOff>0</xdr:colOff>
                    <xdr:row>18</xdr:row>
                    <xdr:rowOff>180975</xdr:rowOff>
                  </from>
                  <to>
                    <xdr:col>7</xdr:col>
                    <xdr:colOff>0</xdr:colOff>
                    <xdr:row>20</xdr:row>
                    <xdr:rowOff>0</xdr:rowOff>
                  </to>
                </anchor>
              </controlPr>
            </control>
          </mc:Choice>
        </mc:AlternateContent>
        <mc:AlternateContent xmlns:mc="http://schemas.openxmlformats.org/markup-compatibility/2006">
          <mc:Choice Requires="x14">
            <control shapeId="43017" r:id="rId18" name="Drop Down 9">
              <controlPr defaultSize="0" autoLine="0" autoPict="0">
                <anchor moveWithCells="1">
                  <from>
                    <xdr:col>10</xdr:col>
                    <xdr:colOff>9525</xdr:colOff>
                    <xdr:row>14</xdr:row>
                    <xdr:rowOff>0</xdr:rowOff>
                  </from>
                  <to>
                    <xdr:col>11</xdr:col>
                    <xdr:colOff>66675</xdr:colOff>
                    <xdr:row>15</xdr:row>
                    <xdr:rowOff>0</xdr:rowOff>
                  </to>
                </anchor>
              </controlPr>
            </control>
          </mc:Choice>
        </mc:AlternateContent>
        <mc:AlternateContent xmlns:mc="http://schemas.openxmlformats.org/markup-compatibility/2006">
          <mc:Choice Requires="x14">
            <control shapeId="43030" r:id="rId19" name="Drop Down 22">
              <controlPr defaultSize="0" autoLine="0" autoPict="0">
                <anchor moveWithCells="1">
                  <from>
                    <xdr:col>3</xdr:col>
                    <xdr:colOff>9525</xdr:colOff>
                    <xdr:row>20</xdr:row>
                    <xdr:rowOff>190500</xdr:rowOff>
                  </from>
                  <to>
                    <xdr:col>5</xdr:col>
                    <xdr:colOff>0</xdr:colOff>
                    <xdr:row>21</xdr:row>
                    <xdr:rowOff>190500</xdr:rowOff>
                  </to>
                </anchor>
              </controlPr>
            </control>
          </mc:Choice>
        </mc:AlternateContent>
        <mc:AlternateContent xmlns:mc="http://schemas.openxmlformats.org/markup-compatibility/2006">
          <mc:Choice Requires="x14">
            <control shapeId="43031" r:id="rId20" name="Option Button 23">
              <controlPr locked="0" defaultSize="0" autoFill="0" autoLine="0" autoPict="0">
                <anchor moveWithCells="1">
                  <from>
                    <xdr:col>3</xdr:col>
                    <xdr:colOff>0</xdr:colOff>
                    <xdr:row>16</xdr:row>
                    <xdr:rowOff>190500</xdr:rowOff>
                  </from>
                  <to>
                    <xdr:col>5</xdr:col>
                    <xdr:colOff>161925</xdr:colOff>
                    <xdr:row>18</xdr:row>
                    <xdr:rowOff>0</xdr:rowOff>
                  </to>
                </anchor>
              </controlPr>
            </control>
          </mc:Choice>
        </mc:AlternateContent>
        <mc:AlternateContent xmlns:mc="http://schemas.openxmlformats.org/markup-compatibility/2006">
          <mc:Choice Requires="x14">
            <control shapeId="43032" r:id="rId21" name="Option Button 24">
              <controlPr locked="0" defaultSize="0" autoFill="0" autoLine="0" autoPict="0">
                <anchor moveWithCells="1">
                  <from>
                    <xdr:col>3</xdr:col>
                    <xdr:colOff>0</xdr:colOff>
                    <xdr:row>18</xdr:row>
                    <xdr:rowOff>0</xdr:rowOff>
                  </from>
                  <to>
                    <xdr:col>5</xdr:col>
                    <xdr:colOff>161925</xdr:colOff>
                    <xdr:row>19</xdr:row>
                    <xdr:rowOff>9525</xdr:rowOff>
                  </to>
                </anchor>
              </controlPr>
            </control>
          </mc:Choice>
        </mc:AlternateContent>
      </controls>
    </mc:Choice>
  </mc:AlternateContent>
  <tableParts count="2">
    <tablePart r:id="rId22"/>
    <tablePart r:id="rId2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0"/>
  <sheetViews>
    <sheetView workbookViewId="0">
      <selection activeCell="C6" sqref="C6:F6"/>
    </sheetView>
  </sheetViews>
  <sheetFormatPr defaultRowHeight="15" x14ac:dyDescent="0.25"/>
  <cols>
    <col min="2" max="2" width="14.7109375" bestFit="1" customWidth="1"/>
    <col min="3" max="3" width="35.5703125" bestFit="1" customWidth="1"/>
    <col min="4" max="4" width="43" bestFit="1" customWidth="1"/>
    <col min="5" max="5" width="39" bestFit="1" customWidth="1"/>
    <col min="6" max="6" width="31.28515625" bestFit="1" customWidth="1"/>
    <col min="7" max="7" width="7.140625" customWidth="1"/>
  </cols>
  <sheetData>
    <row r="1" spans="1:8" ht="16.5" thickBot="1" x14ac:dyDescent="0.3">
      <c r="A1" s="140"/>
      <c r="B1" s="140"/>
      <c r="C1" s="140"/>
      <c r="D1" s="140"/>
      <c r="E1" s="140"/>
      <c r="F1" s="140"/>
      <c r="G1" s="140"/>
      <c r="H1" s="140"/>
    </row>
    <row r="2" spans="1:8" ht="15.75" x14ac:dyDescent="0.25">
      <c r="A2" s="140"/>
      <c r="B2" s="143" t="s">
        <v>340</v>
      </c>
      <c r="C2" s="144" t="s">
        <v>341</v>
      </c>
      <c r="D2" s="144" t="s">
        <v>342</v>
      </c>
      <c r="E2" s="144" t="s">
        <v>343</v>
      </c>
      <c r="F2" s="144" t="s">
        <v>344</v>
      </c>
      <c r="G2" s="145" t="s">
        <v>345</v>
      </c>
      <c r="H2" s="140"/>
    </row>
    <row r="3" spans="1:8" ht="15.75" x14ac:dyDescent="0.25">
      <c r="A3" s="140"/>
      <c r="B3" s="146" t="s">
        <v>346</v>
      </c>
      <c r="C3" s="142" t="s">
        <v>347</v>
      </c>
      <c r="D3" s="142" t="s">
        <v>348</v>
      </c>
      <c r="E3" s="142" t="s">
        <v>349</v>
      </c>
      <c r="F3" s="142" t="s">
        <v>350</v>
      </c>
      <c r="G3" s="147" t="s">
        <v>351</v>
      </c>
      <c r="H3" s="140"/>
    </row>
    <row r="4" spans="1:8" ht="15.75" x14ac:dyDescent="0.25">
      <c r="A4" s="140"/>
      <c r="B4" s="146" t="s">
        <v>352</v>
      </c>
      <c r="C4" s="142" t="s">
        <v>353</v>
      </c>
      <c r="D4" s="142" t="s">
        <v>354</v>
      </c>
      <c r="E4" s="142" t="s">
        <v>355</v>
      </c>
      <c r="F4" s="142" t="s">
        <v>356</v>
      </c>
      <c r="G4" s="147" t="s">
        <v>351</v>
      </c>
      <c r="H4" s="140"/>
    </row>
    <row r="5" spans="1:8" ht="15.75" x14ac:dyDescent="0.25">
      <c r="A5" s="140"/>
      <c r="B5" s="146" t="s">
        <v>357</v>
      </c>
      <c r="C5" s="142" t="s">
        <v>358</v>
      </c>
      <c r="D5" s="142" t="s">
        <v>359</v>
      </c>
      <c r="E5" s="142" t="s">
        <v>360</v>
      </c>
      <c r="F5" s="142" t="s">
        <v>361</v>
      </c>
      <c r="G5" s="147" t="s">
        <v>351</v>
      </c>
      <c r="H5" s="140"/>
    </row>
    <row r="6" spans="1:8" ht="15.75" x14ac:dyDescent="0.25">
      <c r="A6" s="140"/>
      <c r="B6" s="148" t="s">
        <v>340</v>
      </c>
      <c r="C6" s="141" t="s">
        <v>362</v>
      </c>
      <c r="D6" s="141" t="s">
        <v>363</v>
      </c>
      <c r="E6" s="141" t="s">
        <v>364</v>
      </c>
      <c r="F6" s="141" t="s">
        <v>365</v>
      </c>
      <c r="G6" s="149" t="s">
        <v>345</v>
      </c>
      <c r="H6" s="140"/>
    </row>
    <row r="7" spans="1:8" ht="15.75" x14ac:dyDescent="0.25">
      <c r="A7" s="140"/>
      <c r="B7" s="146" t="s">
        <v>346</v>
      </c>
      <c r="C7" s="142" t="s">
        <v>366</v>
      </c>
      <c r="D7" s="142" t="s">
        <v>349</v>
      </c>
      <c r="E7" s="142" t="s">
        <v>367</v>
      </c>
      <c r="F7" s="142" t="s">
        <v>368</v>
      </c>
      <c r="G7" s="147" t="s">
        <v>351</v>
      </c>
      <c r="H7" s="140"/>
    </row>
    <row r="8" spans="1:8" ht="15.75" x14ac:dyDescent="0.25">
      <c r="A8" s="140"/>
      <c r="B8" s="146" t="s">
        <v>352</v>
      </c>
      <c r="C8" s="142" t="s">
        <v>369</v>
      </c>
      <c r="D8" s="142" t="s">
        <v>370</v>
      </c>
      <c r="E8" s="142" t="s">
        <v>371</v>
      </c>
      <c r="F8" s="142" t="s">
        <v>372</v>
      </c>
      <c r="G8" s="147" t="s">
        <v>351</v>
      </c>
      <c r="H8" s="140"/>
    </row>
    <row r="9" spans="1:8" ht="15.75" x14ac:dyDescent="0.25">
      <c r="A9" s="140"/>
      <c r="B9" s="146" t="s">
        <v>357</v>
      </c>
      <c r="C9" s="142" t="s">
        <v>373</v>
      </c>
      <c r="D9" s="142" t="s">
        <v>374</v>
      </c>
      <c r="E9" s="142" t="s">
        <v>375</v>
      </c>
      <c r="F9" s="142" t="s">
        <v>376</v>
      </c>
      <c r="G9" s="147" t="s">
        <v>351</v>
      </c>
      <c r="H9" s="140"/>
    </row>
    <row r="10" spans="1:8" ht="15.75" x14ac:dyDescent="0.25">
      <c r="A10" s="140"/>
      <c r="B10" s="148" t="s">
        <v>340</v>
      </c>
      <c r="C10" s="141" t="s">
        <v>377</v>
      </c>
      <c r="D10" s="141" t="s">
        <v>378</v>
      </c>
      <c r="E10" s="141" t="s">
        <v>379</v>
      </c>
      <c r="F10" s="141" t="s">
        <v>380</v>
      </c>
      <c r="G10" s="149" t="s">
        <v>345</v>
      </c>
      <c r="H10" s="140"/>
    </row>
    <row r="11" spans="1:8" ht="15.75" x14ac:dyDescent="0.25">
      <c r="A11" s="140"/>
      <c r="B11" s="146" t="s">
        <v>346</v>
      </c>
      <c r="C11" s="142" t="s">
        <v>381</v>
      </c>
      <c r="D11" s="142" t="s">
        <v>382</v>
      </c>
      <c r="E11" s="142" t="s">
        <v>349</v>
      </c>
      <c r="F11" s="142" t="s">
        <v>383</v>
      </c>
      <c r="G11" s="147" t="s">
        <v>351</v>
      </c>
      <c r="H11" s="140"/>
    </row>
    <row r="12" spans="1:8" ht="15.75" x14ac:dyDescent="0.25">
      <c r="A12" s="140"/>
      <c r="B12" s="146" t="s">
        <v>384</v>
      </c>
      <c r="C12" s="142" t="s">
        <v>385</v>
      </c>
      <c r="D12" s="142" t="s">
        <v>386</v>
      </c>
      <c r="E12" s="142" t="s">
        <v>350</v>
      </c>
      <c r="F12" s="142" t="s">
        <v>387</v>
      </c>
      <c r="G12" s="147" t="s">
        <v>351</v>
      </c>
      <c r="H12" s="140"/>
    </row>
    <row r="13" spans="1:8" ht="15.75" x14ac:dyDescent="0.25">
      <c r="A13" s="140"/>
      <c r="B13" s="146" t="s">
        <v>352</v>
      </c>
      <c r="C13" s="142" t="s">
        <v>388</v>
      </c>
      <c r="D13" s="142" t="s">
        <v>389</v>
      </c>
      <c r="E13" s="142" t="s">
        <v>390</v>
      </c>
      <c r="F13" s="142" t="s">
        <v>391</v>
      </c>
      <c r="G13" s="147" t="s">
        <v>351</v>
      </c>
      <c r="H13" s="140"/>
    </row>
    <row r="14" spans="1:8" ht="15.75" x14ac:dyDescent="0.25">
      <c r="A14" s="140"/>
      <c r="B14" s="148" t="s">
        <v>340</v>
      </c>
      <c r="C14" s="141" t="s">
        <v>392</v>
      </c>
      <c r="D14" s="141" t="s">
        <v>393</v>
      </c>
      <c r="E14" s="141" t="s">
        <v>394</v>
      </c>
      <c r="F14" s="141" t="s">
        <v>395</v>
      </c>
      <c r="G14" s="149" t="s">
        <v>345</v>
      </c>
      <c r="H14" s="140"/>
    </row>
    <row r="15" spans="1:8" ht="15.75" x14ac:dyDescent="0.25">
      <c r="A15" s="140"/>
      <c r="B15" s="146" t="s">
        <v>346</v>
      </c>
      <c r="C15" s="142" t="s">
        <v>396</v>
      </c>
      <c r="D15" s="142" t="s">
        <v>349</v>
      </c>
      <c r="E15" s="142" t="s">
        <v>397</v>
      </c>
      <c r="F15" s="142" t="s">
        <v>398</v>
      </c>
      <c r="G15" s="147" t="s">
        <v>351</v>
      </c>
      <c r="H15" s="140"/>
    </row>
    <row r="16" spans="1:8" ht="15.75" x14ac:dyDescent="0.25">
      <c r="A16" s="140"/>
      <c r="B16" s="146" t="s">
        <v>384</v>
      </c>
      <c r="C16" s="142" t="s">
        <v>399</v>
      </c>
      <c r="D16" s="142" t="s">
        <v>398</v>
      </c>
      <c r="E16" s="142" t="s">
        <v>400</v>
      </c>
      <c r="F16" s="142" t="s">
        <v>401</v>
      </c>
      <c r="G16" s="147" t="s">
        <v>351</v>
      </c>
      <c r="H16" s="140"/>
    </row>
    <row r="17" spans="1:8" ht="15.75" x14ac:dyDescent="0.25">
      <c r="A17" s="140"/>
      <c r="B17" s="146" t="s">
        <v>352</v>
      </c>
      <c r="C17" s="142" t="s">
        <v>402</v>
      </c>
      <c r="D17" s="142" t="s">
        <v>403</v>
      </c>
      <c r="E17" s="142" t="s">
        <v>404</v>
      </c>
      <c r="F17" s="142" t="s">
        <v>405</v>
      </c>
      <c r="G17" s="147" t="s">
        <v>351</v>
      </c>
      <c r="H17" s="140"/>
    </row>
    <row r="18" spans="1:8" ht="15.75" x14ac:dyDescent="0.25">
      <c r="A18" s="140"/>
      <c r="B18" s="148" t="s">
        <v>340</v>
      </c>
      <c r="C18" s="141" t="s">
        <v>406</v>
      </c>
      <c r="D18" s="141" t="s">
        <v>407</v>
      </c>
      <c r="E18" s="141" t="s">
        <v>408</v>
      </c>
      <c r="F18" s="141" t="s">
        <v>409</v>
      </c>
      <c r="G18" s="149" t="s">
        <v>345</v>
      </c>
      <c r="H18" s="140"/>
    </row>
    <row r="19" spans="1:8" ht="15.75" x14ac:dyDescent="0.25">
      <c r="A19" s="140"/>
      <c r="B19" s="146" t="s">
        <v>346</v>
      </c>
      <c r="C19" s="142" t="s">
        <v>410</v>
      </c>
      <c r="D19" s="142" t="s">
        <v>411</v>
      </c>
      <c r="E19" s="142" t="s">
        <v>412</v>
      </c>
      <c r="F19" s="142" t="s">
        <v>413</v>
      </c>
      <c r="G19" s="147" t="s">
        <v>351</v>
      </c>
      <c r="H19" s="140"/>
    </row>
    <row r="20" spans="1:8" ht="15.75" x14ac:dyDescent="0.25">
      <c r="A20" s="140"/>
      <c r="B20" s="146" t="s">
        <v>384</v>
      </c>
      <c r="C20" s="142" t="s">
        <v>414</v>
      </c>
      <c r="D20" s="142" t="s">
        <v>415</v>
      </c>
      <c r="E20" s="142" t="s">
        <v>416</v>
      </c>
      <c r="F20" s="142" t="s">
        <v>417</v>
      </c>
      <c r="G20" s="147" t="s">
        <v>351</v>
      </c>
      <c r="H20" s="140"/>
    </row>
    <row r="21" spans="1:8" ht="15.75" x14ac:dyDescent="0.25">
      <c r="A21" s="140"/>
      <c r="B21" s="146" t="s">
        <v>352</v>
      </c>
      <c r="C21" s="142" t="s">
        <v>361</v>
      </c>
      <c r="D21" s="142" t="s">
        <v>418</v>
      </c>
      <c r="E21" s="142" t="s">
        <v>419</v>
      </c>
      <c r="F21" s="142" t="s">
        <v>420</v>
      </c>
      <c r="G21" s="147" t="s">
        <v>351</v>
      </c>
      <c r="H21" s="140"/>
    </row>
    <row r="22" spans="1:8" ht="16.5" thickBot="1" x14ac:dyDescent="0.3">
      <c r="A22" s="140"/>
      <c r="B22" s="150" t="s">
        <v>351</v>
      </c>
      <c r="C22" s="151" t="s">
        <v>351</v>
      </c>
      <c r="D22" s="151" t="s">
        <v>351</v>
      </c>
      <c r="E22" s="783" t="s">
        <v>421</v>
      </c>
      <c r="F22" s="783"/>
      <c r="G22" s="152"/>
      <c r="H22" s="140"/>
    </row>
    <row r="23" spans="1:8" ht="15.75" x14ac:dyDescent="0.25">
      <c r="A23" s="140"/>
      <c r="B23" s="140"/>
      <c r="C23" s="140"/>
      <c r="D23" s="140"/>
      <c r="E23" s="140"/>
      <c r="F23" s="140"/>
      <c r="G23" s="140"/>
      <c r="H23" s="140"/>
    </row>
    <row r="24" spans="1:8" ht="15.75" x14ac:dyDescent="0.25">
      <c r="A24" s="140"/>
      <c r="B24" s="140"/>
      <c r="C24" s="140"/>
      <c r="D24" s="140"/>
      <c r="E24" s="140"/>
      <c r="F24" s="140"/>
      <c r="G24" s="140"/>
      <c r="H24" s="140"/>
    </row>
    <row r="25" spans="1:8" ht="15.75" x14ac:dyDescent="0.25">
      <c r="A25" s="140"/>
      <c r="B25" s="782" t="s">
        <v>422</v>
      </c>
      <c r="C25" s="782"/>
      <c r="D25" s="782"/>
      <c r="E25" s="782"/>
      <c r="F25" s="782"/>
      <c r="G25" s="782"/>
      <c r="H25" s="140"/>
    </row>
    <row r="26" spans="1:8" ht="15.75" x14ac:dyDescent="0.25">
      <c r="A26" s="140"/>
      <c r="B26" s="782" t="s">
        <v>423</v>
      </c>
      <c r="C26" s="782"/>
      <c r="D26" s="782"/>
      <c r="E26" s="782"/>
      <c r="F26" s="782"/>
      <c r="G26" s="782"/>
      <c r="H26" s="140"/>
    </row>
    <row r="27" spans="1:8" ht="15.75" x14ac:dyDescent="0.25">
      <c r="A27" s="140"/>
      <c r="B27" s="782" t="s">
        <v>424</v>
      </c>
      <c r="C27" s="782"/>
      <c r="D27" s="782"/>
      <c r="E27" s="782"/>
      <c r="F27" s="782"/>
      <c r="G27" s="782"/>
      <c r="H27" s="140"/>
    </row>
    <row r="28" spans="1:8" ht="15.75" x14ac:dyDescent="0.25">
      <c r="A28" s="140"/>
      <c r="B28" s="782" t="s">
        <v>425</v>
      </c>
      <c r="C28" s="782"/>
      <c r="D28" s="782"/>
      <c r="E28" s="782"/>
      <c r="F28" s="782"/>
      <c r="G28" s="782"/>
      <c r="H28" s="140"/>
    </row>
    <row r="29" spans="1:8" ht="15.75" x14ac:dyDescent="0.25">
      <c r="A29" s="140"/>
      <c r="B29" s="782" t="s">
        <v>426</v>
      </c>
      <c r="C29" s="782"/>
      <c r="D29" s="782"/>
      <c r="E29" s="782"/>
      <c r="F29" s="782"/>
      <c r="G29" s="782"/>
      <c r="H29" s="140"/>
    </row>
    <row r="30" spans="1:8" ht="15.75" x14ac:dyDescent="0.25">
      <c r="A30" s="140"/>
      <c r="B30" s="140"/>
      <c r="C30" s="140"/>
      <c r="D30" s="140"/>
      <c r="E30" s="140"/>
      <c r="F30" s="140"/>
      <c r="G30" s="140"/>
      <c r="H30" s="140"/>
    </row>
    <row r="31" spans="1:8" ht="15.75" x14ac:dyDescent="0.25">
      <c r="A31" s="140"/>
      <c r="B31" s="142" t="s">
        <v>427</v>
      </c>
      <c r="C31" s="142" t="s">
        <v>428</v>
      </c>
      <c r="D31" s="140"/>
      <c r="E31" s="140"/>
      <c r="F31" s="140"/>
      <c r="G31" s="140"/>
      <c r="H31" s="140"/>
    </row>
    <row r="32" spans="1:8" ht="15.75" x14ac:dyDescent="0.25">
      <c r="A32" s="140"/>
      <c r="B32" s="142" t="s">
        <v>429</v>
      </c>
      <c r="C32" s="142" t="s">
        <v>430</v>
      </c>
      <c r="D32" s="140"/>
      <c r="E32" s="140"/>
      <c r="F32" s="140"/>
      <c r="G32" s="140"/>
      <c r="H32" s="140"/>
    </row>
    <row r="33" spans="1:8" ht="15.75" x14ac:dyDescent="0.25">
      <c r="A33" s="140"/>
      <c r="B33" s="142" t="s">
        <v>431</v>
      </c>
      <c r="C33" s="142" t="s">
        <v>432</v>
      </c>
      <c r="D33" s="140"/>
      <c r="E33" s="140"/>
      <c r="F33" s="140"/>
      <c r="G33" s="140"/>
      <c r="H33" s="140"/>
    </row>
    <row r="34" spans="1:8" ht="15.75" x14ac:dyDescent="0.25">
      <c r="A34" s="140"/>
      <c r="B34" s="142" t="s">
        <v>433</v>
      </c>
      <c r="C34" s="142" t="s">
        <v>434</v>
      </c>
      <c r="D34" s="140"/>
      <c r="E34" s="140"/>
      <c r="F34" s="140"/>
      <c r="G34" s="140"/>
      <c r="H34" s="140"/>
    </row>
    <row r="35" spans="1:8" ht="15.75" x14ac:dyDescent="0.25">
      <c r="A35" s="140"/>
      <c r="B35" s="142" t="s">
        <v>435</v>
      </c>
      <c r="C35" s="142" t="s">
        <v>436</v>
      </c>
      <c r="D35" s="140"/>
      <c r="E35" s="140"/>
      <c r="F35" s="140"/>
      <c r="G35" s="140"/>
      <c r="H35" s="140"/>
    </row>
    <row r="36" spans="1:8" ht="15.75" x14ac:dyDescent="0.25">
      <c r="A36" s="140"/>
      <c r="B36" s="142" t="s">
        <v>437</v>
      </c>
      <c r="C36" s="142" t="s">
        <v>438</v>
      </c>
      <c r="D36" s="140"/>
      <c r="E36" s="140"/>
      <c r="F36" s="140"/>
      <c r="G36" s="140"/>
      <c r="H36" s="140"/>
    </row>
    <row r="37" spans="1:8" ht="15.75" x14ac:dyDescent="0.25">
      <c r="A37" s="140"/>
      <c r="B37" s="142" t="s">
        <v>439</v>
      </c>
      <c r="C37" s="142" t="s">
        <v>440</v>
      </c>
      <c r="D37" s="140"/>
      <c r="E37" s="140"/>
      <c r="F37" s="140"/>
      <c r="G37" s="140"/>
      <c r="H37" s="140"/>
    </row>
    <row r="38" spans="1:8" ht="15.75" x14ac:dyDescent="0.25">
      <c r="A38" s="140"/>
      <c r="B38" s="142" t="s">
        <v>441</v>
      </c>
      <c r="C38" s="142" t="s">
        <v>442</v>
      </c>
      <c r="D38" s="140"/>
      <c r="E38" s="140"/>
      <c r="F38" s="140"/>
      <c r="G38" s="140"/>
      <c r="H38" s="140"/>
    </row>
    <row r="39" spans="1:8" ht="15.75" x14ac:dyDescent="0.25">
      <c r="A39" s="140"/>
      <c r="B39" s="142" t="s">
        <v>443</v>
      </c>
      <c r="C39" s="142" t="s">
        <v>444</v>
      </c>
      <c r="D39" s="140"/>
      <c r="E39" s="140"/>
      <c r="F39" s="140"/>
      <c r="G39" s="140"/>
      <c r="H39" s="140"/>
    </row>
    <row r="40" spans="1:8" ht="15.75" x14ac:dyDescent="0.25">
      <c r="A40" s="140"/>
      <c r="B40" s="142" t="s">
        <v>445</v>
      </c>
      <c r="C40" s="142" t="s">
        <v>446</v>
      </c>
      <c r="D40" s="140"/>
      <c r="E40" s="140"/>
      <c r="F40" s="140"/>
      <c r="G40" s="140"/>
      <c r="H40" s="140"/>
    </row>
    <row r="41" spans="1:8" ht="15.75" x14ac:dyDescent="0.25">
      <c r="A41" s="140"/>
      <c r="B41" s="142" t="s">
        <v>447</v>
      </c>
      <c r="C41" s="142" t="s">
        <v>448</v>
      </c>
      <c r="D41" s="140"/>
      <c r="E41" s="140"/>
      <c r="F41" s="140"/>
      <c r="G41" s="140"/>
      <c r="H41" s="140"/>
    </row>
    <row r="42" spans="1:8" ht="15.75" x14ac:dyDescent="0.25">
      <c r="A42" s="140"/>
      <c r="B42" s="142" t="s">
        <v>449</v>
      </c>
      <c r="C42" s="142" t="s">
        <v>450</v>
      </c>
      <c r="D42" s="140"/>
      <c r="E42" s="140"/>
      <c r="F42" s="140"/>
      <c r="G42" s="140"/>
      <c r="H42" s="140"/>
    </row>
    <row r="43" spans="1:8" ht="15.75" x14ac:dyDescent="0.25">
      <c r="A43" s="140"/>
      <c r="B43" s="142" t="s">
        <v>451</v>
      </c>
      <c r="C43" s="142" t="s">
        <v>452</v>
      </c>
      <c r="D43" s="140"/>
      <c r="E43" s="140"/>
      <c r="F43" s="140"/>
      <c r="G43" s="140"/>
      <c r="H43" s="140"/>
    </row>
    <row r="44" spans="1:8" ht="15.75" x14ac:dyDescent="0.25">
      <c r="A44" s="140"/>
      <c r="B44" s="142" t="s">
        <v>453</v>
      </c>
      <c r="C44" s="142" t="s">
        <v>454</v>
      </c>
      <c r="D44" s="140"/>
      <c r="E44" s="140"/>
      <c r="F44" s="140"/>
      <c r="G44" s="140"/>
      <c r="H44" s="140"/>
    </row>
    <row r="45" spans="1:8" ht="15.75" x14ac:dyDescent="0.25">
      <c r="A45" s="140"/>
      <c r="B45" s="142" t="s">
        <v>455</v>
      </c>
      <c r="C45" s="142" t="s">
        <v>456</v>
      </c>
      <c r="D45" s="140"/>
      <c r="E45" s="140"/>
      <c r="F45" s="140"/>
      <c r="G45" s="140"/>
      <c r="H45" s="140"/>
    </row>
    <row r="46" spans="1:8" ht="15.75" x14ac:dyDescent="0.25">
      <c r="A46" s="140"/>
      <c r="B46" s="142" t="s">
        <v>457</v>
      </c>
      <c r="C46" s="142" t="s">
        <v>458</v>
      </c>
      <c r="D46" s="140"/>
      <c r="E46" s="140"/>
      <c r="F46" s="140"/>
      <c r="G46" s="140"/>
      <c r="H46" s="140"/>
    </row>
    <row r="47" spans="1:8" ht="15.75" x14ac:dyDescent="0.25">
      <c r="A47" s="140"/>
      <c r="B47" s="142" t="s">
        <v>459</v>
      </c>
      <c r="C47" s="142" t="s">
        <v>460</v>
      </c>
      <c r="D47" s="140"/>
      <c r="E47" s="140"/>
      <c r="F47" s="140"/>
      <c r="G47" s="140"/>
      <c r="H47" s="140"/>
    </row>
    <row r="48" spans="1:8" ht="15.75" x14ac:dyDescent="0.25">
      <c r="A48" s="140"/>
      <c r="B48" s="142" t="s">
        <v>461</v>
      </c>
      <c r="C48" s="142" t="s">
        <v>462</v>
      </c>
      <c r="D48" s="140"/>
      <c r="E48" s="140"/>
      <c r="F48" s="140"/>
      <c r="G48" s="140"/>
      <c r="H48" s="140"/>
    </row>
    <row r="49" spans="1:8" ht="15.75" x14ac:dyDescent="0.25">
      <c r="A49" s="140"/>
      <c r="B49" s="142" t="s">
        <v>463</v>
      </c>
      <c r="C49" s="142" t="s">
        <v>464</v>
      </c>
      <c r="D49" s="140"/>
      <c r="E49" s="140"/>
      <c r="F49" s="140"/>
      <c r="G49" s="140"/>
      <c r="H49" s="140"/>
    </row>
    <row r="50" spans="1:8" ht="15.75" x14ac:dyDescent="0.25">
      <c r="A50" s="140"/>
      <c r="B50" s="140"/>
      <c r="C50" s="140"/>
      <c r="D50" s="140"/>
      <c r="E50" s="140"/>
      <c r="F50" s="140"/>
      <c r="G50" s="140"/>
      <c r="H50" s="140"/>
    </row>
  </sheetData>
  <sheetProtection sheet="1" objects="1" scenarios="1"/>
  <mergeCells count="6">
    <mergeCell ref="B29:G29"/>
    <mergeCell ref="E22:F22"/>
    <mergeCell ref="B25:G25"/>
    <mergeCell ref="B26:G26"/>
    <mergeCell ref="B27:G27"/>
    <mergeCell ref="B28:G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0"/>
  <sheetViews>
    <sheetView workbookViewId="0">
      <selection sqref="A1:C43"/>
    </sheetView>
  </sheetViews>
  <sheetFormatPr defaultRowHeight="15" x14ac:dyDescent="0.25"/>
  <cols>
    <col min="1" max="1" width="18.85546875" style="125" bestFit="1" customWidth="1"/>
    <col min="2" max="2" width="76.140625" style="124" bestFit="1" customWidth="1"/>
    <col min="3" max="3" width="23.42578125" style="124" bestFit="1" customWidth="1"/>
    <col min="4" max="5" width="10.7109375" style="125" customWidth="1"/>
    <col min="6" max="16384" width="9.140625" style="125"/>
  </cols>
  <sheetData>
    <row r="1" spans="1:5" x14ac:dyDescent="0.25">
      <c r="A1" s="138"/>
      <c r="B1" s="558" t="s">
        <v>305</v>
      </c>
      <c r="C1" s="559" t="s">
        <v>339</v>
      </c>
      <c r="E1" s="126"/>
    </row>
    <row r="2" spans="1:5" x14ac:dyDescent="0.25">
      <c r="A2" s="139" t="s">
        <v>334</v>
      </c>
      <c r="B2" s="134"/>
      <c r="C2" s="134"/>
      <c r="D2" s="127"/>
      <c r="E2" s="127"/>
    </row>
    <row r="3" spans="1:5" x14ac:dyDescent="0.25">
      <c r="A3" s="784"/>
      <c r="B3" s="130" t="s">
        <v>306</v>
      </c>
      <c r="C3" s="129"/>
      <c r="D3" s="127"/>
      <c r="E3" s="127"/>
    </row>
    <row r="4" spans="1:5" x14ac:dyDescent="0.25">
      <c r="A4" s="785"/>
      <c r="B4" s="130" t="s">
        <v>307</v>
      </c>
      <c r="C4" s="129"/>
      <c r="D4" s="127"/>
      <c r="E4" s="127"/>
    </row>
    <row r="5" spans="1:5" x14ac:dyDescent="0.25">
      <c r="A5" s="785"/>
      <c r="B5" s="131" t="s">
        <v>331</v>
      </c>
      <c r="C5" s="129"/>
      <c r="D5" s="127"/>
      <c r="E5" s="127"/>
    </row>
    <row r="6" spans="1:5" x14ac:dyDescent="0.25">
      <c r="A6" s="785"/>
      <c r="B6" s="131" t="s">
        <v>332</v>
      </c>
      <c r="C6" s="129"/>
      <c r="D6" s="127"/>
      <c r="E6" s="127"/>
    </row>
    <row r="7" spans="1:5" x14ac:dyDescent="0.25">
      <c r="A7" s="785"/>
      <c r="B7" s="132" t="s">
        <v>321</v>
      </c>
      <c r="C7" s="129"/>
      <c r="D7" s="127"/>
      <c r="E7" s="127"/>
    </row>
    <row r="8" spans="1:5" x14ac:dyDescent="0.25">
      <c r="A8" s="785"/>
      <c r="B8" s="132" t="s">
        <v>322</v>
      </c>
      <c r="C8" s="129"/>
      <c r="D8" s="127"/>
      <c r="E8" s="127"/>
    </row>
    <row r="9" spans="1:5" x14ac:dyDescent="0.25">
      <c r="A9" s="785"/>
      <c r="B9" s="132" t="s">
        <v>330</v>
      </c>
      <c r="C9" s="129"/>
      <c r="D9" s="127"/>
      <c r="E9" s="127"/>
    </row>
    <row r="10" spans="1:5" x14ac:dyDescent="0.25">
      <c r="A10" s="786"/>
      <c r="B10" s="131"/>
      <c r="C10" s="129"/>
      <c r="D10" s="127"/>
      <c r="E10" s="127"/>
    </row>
    <row r="11" spans="1:5" x14ac:dyDescent="0.25">
      <c r="A11" s="139" t="s">
        <v>335</v>
      </c>
      <c r="B11" s="135"/>
      <c r="C11" s="134"/>
      <c r="D11" s="127"/>
      <c r="E11" s="127"/>
    </row>
    <row r="12" spans="1:5" x14ac:dyDescent="0.25">
      <c r="A12" s="784"/>
      <c r="B12" s="130" t="s">
        <v>308</v>
      </c>
      <c r="C12" s="129"/>
      <c r="D12" s="127"/>
      <c r="E12" s="127"/>
    </row>
    <row r="13" spans="1:5" x14ac:dyDescent="0.25">
      <c r="A13" s="785"/>
      <c r="B13" s="130" t="s">
        <v>309</v>
      </c>
      <c r="C13" s="129"/>
      <c r="D13" s="127"/>
      <c r="E13" s="127"/>
    </row>
    <row r="14" spans="1:5" x14ac:dyDescent="0.25">
      <c r="A14" s="785"/>
      <c r="B14" s="130" t="s">
        <v>310</v>
      </c>
      <c r="C14" s="129"/>
      <c r="D14" s="127"/>
      <c r="E14" s="127"/>
    </row>
    <row r="15" spans="1:5" x14ac:dyDescent="0.25">
      <c r="A15" s="785"/>
      <c r="B15" s="130" t="s">
        <v>311</v>
      </c>
      <c r="C15" s="129"/>
      <c r="D15" s="127"/>
      <c r="E15" s="127"/>
    </row>
    <row r="16" spans="1:5" x14ac:dyDescent="0.25">
      <c r="A16" s="785"/>
      <c r="B16" s="130" t="s">
        <v>312</v>
      </c>
      <c r="C16" s="129"/>
      <c r="E16" s="127"/>
    </row>
    <row r="17" spans="1:5" x14ac:dyDescent="0.25">
      <c r="A17" s="785"/>
      <c r="B17" s="132" t="s">
        <v>557</v>
      </c>
      <c r="C17" s="129"/>
      <c r="D17" s="127"/>
      <c r="E17" s="127"/>
    </row>
    <row r="18" spans="1:5" x14ac:dyDescent="0.25">
      <c r="A18" s="785"/>
      <c r="B18" s="132" t="s">
        <v>333</v>
      </c>
      <c r="C18" s="129"/>
    </row>
    <row r="19" spans="1:5" x14ac:dyDescent="0.25">
      <c r="A19" s="786"/>
      <c r="B19" s="130"/>
      <c r="C19" s="129"/>
    </row>
    <row r="20" spans="1:5" x14ac:dyDescent="0.25">
      <c r="A20" s="139" t="s">
        <v>336</v>
      </c>
      <c r="B20" s="135"/>
      <c r="C20" s="134"/>
    </row>
    <row r="21" spans="1:5" x14ac:dyDescent="0.25">
      <c r="A21" s="784"/>
      <c r="B21" s="130" t="s">
        <v>313</v>
      </c>
      <c r="C21" s="129"/>
    </row>
    <row r="22" spans="1:5" x14ac:dyDescent="0.25">
      <c r="A22" s="785"/>
      <c r="B22" s="131" t="s">
        <v>323</v>
      </c>
      <c r="C22" s="129"/>
    </row>
    <row r="23" spans="1:5" x14ac:dyDescent="0.25">
      <c r="A23" s="786"/>
      <c r="B23" s="130"/>
      <c r="C23" s="129"/>
      <c r="D23" s="127"/>
      <c r="E23" s="127"/>
    </row>
    <row r="24" spans="1:5" x14ac:dyDescent="0.25">
      <c r="A24" s="139" t="s">
        <v>337</v>
      </c>
      <c r="B24" s="135"/>
      <c r="C24" s="134"/>
      <c r="D24" s="127"/>
      <c r="E24" s="127"/>
    </row>
    <row r="25" spans="1:5" x14ac:dyDescent="0.25">
      <c r="A25" s="555"/>
      <c r="B25" s="130" t="s">
        <v>314</v>
      </c>
      <c r="C25" s="129"/>
      <c r="D25" s="127"/>
      <c r="E25" s="127"/>
    </row>
    <row r="26" spans="1:5" x14ac:dyDescent="0.25">
      <c r="A26" s="556"/>
      <c r="B26" s="130" t="s">
        <v>315</v>
      </c>
      <c r="C26" s="129"/>
      <c r="D26" s="127"/>
      <c r="E26" s="127"/>
    </row>
    <row r="27" spans="1:5" x14ac:dyDescent="0.25">
      <c r="A27" s="556"/>
      <c r="B27" s="130" t="s">
        <v>316</v>
      </c>
      <c r="C27" s="129"/>
      <c r="D27" s="127"/>
      <c r="E27" s="127"/>
    </row>
    <row r="28" spans="1:5" x14ac:dyDescent="0.25">
      <c r="A28" s="556"/>
      <c r="B28" s="132" t="s">
        <v>317</v>
      </c>
      <c r="C28" s="129"/>
      <c r="D28" s="127"/>
      <c r="E28" s="127"/>
    </row>
    <row r="29" spans="1:5" x14ac:dyDescent="0.25">
      <c r="A29" s="556"/>
      <c r="B29" s="132" t="s">
        <v>319</v>
      </c>
      <c r="C29" s="129"/>
      <c r="D29" s="127"/>
      <c r="E29" s="127"/>
    </row>
    <row r="30" spans="1:5" x14ac:dyDescent="0.25">
      <c r="A30" s="556"/>
      <c r="B30" s="132" t="s">
        <v>318</v>
      </c>
      <c r="C30" s="129"/>
      <c r="D30" s="127"/>
      <c r="E30" s="127"/>
    </row>
    <row r="31" spans="1:5" x14ac:dyDescent="0.25">
      <c r="A31" s="556"/>
      <c r="B31" s="131" t="s">
        <v>327</v>
      </c>
      <c r="C31" s="133"/>
    </row>
    <row r="32" spans="1:5" x14ac:dyDescent="0.25">
      <c r="A32" s="556"/>
      <c r="B32" s="131" t="s">
        <v>328</v>
      </c>
      <c r="C32" s="133"/>
    </row>
    <row r="33" spans="1:3" ht="14.25" customHeight="1" x14ac:dyDescent="0.25">
      <c r="A33" s="556"/>
      <c r="B33" s="131" t="s">
        <v>329</v>
      </c>
      <c r="C33" s="133"/>
    </row>
    <row r="34" spans="1:3" x14ac:dyDescent="0.25">
      <c r="A34" s="557"/>
      <c r="B34" s="131"/>
      <c r="C34" s="133"/>
    </row>
    <row r="35" spans="1:3" x14ac:dyDescent="0.25">
      <c r="A35" s="139" t="s">
        <v>547</v>
      </c>
      <c r="B35" s="135"/>
      <c r="C35" s="134"/>
    </row>
    <row r="36" spans="1:3" x14ac:dyDescent="0.25">
      <c r="A36" s="556"/>
      <c r="B36" s="132" t="s">
        <v>320</v>
      </c>
      <c r="C36" s="129"/>
    </row>
    <row r="37" spans="1:3" x14ac:dyDescent="0.25">
      <c r="A37" s="556"/>
      <c r="B37" s="132" t="s">
        <v>548</v>
      </c>
      <c r="C37" s="129"/>
    </row>
    <row r="38" spans="1:3" x14ac:dyDescent="0.25">
      <c r="A38" s="557"/>
      <c r="B38" s="131"/>
      <c r="C38" s="133"/>
    </row>
    <row r="39" spans="1:3" x14ac:dyDescent="0.25">
      <c r="A39" s="139" t="s">
        <v>338</v>
      </c>
      <c r="B39" s="136"/>
      <c r="C39" s="137"/>
    </row>
    <row r="40" spans="1:3" x14ac:dyDescent="0.25">
      <c r="A40" s="787"/>
      <c r="B40" s="131" t="s">
        <v>324</v>
      </c>
      <c r="C40" s="133"/>
    </row>
    <row r="41" spans="1:3" x14ac:dyDescent="0.25">
      <c r="A41" s="788"/>
      <c r="B41" s="131" t="s">
        <v>325</v>
      </c>
      <c r="C41" s="133"/>
    </row>
    <row r="42" spans="1:3" x14ac:dyDescent="0.25">
      <c r="A42" s="788"/>
      <c r="B42" s="131" t="s">
        <v>326</v>
      </c>
      <c r="C42" s="133"/>
    </row>
    <row r="43" spans="1:3" x14ac:dyDescent="0.25">
      <c r="A43" s="789"/>
      <c r="B43" s="128"/>
      <c r="C43" s="133"/>
    </row>
    <row r="44" spans="1:3" x14ac:dyDescent="0.25">
      <c r="B44" s="125"/>
    </row>
    <row r="45" spans="1:3" x14ac:dyDescent="0.25">
      <c r="B45" s="125"/>
    </row>
    <row r="46" spans="1:3" x14ac:dyDescent="0.25">
      <c r="B46" s="125"/>
    </row>
    <row r="47" spans="1:3" x14ac:dyDescent="0.25">
      <c r="B47" s="125"/>
    </row>
    <row r="48" spans="1:3" x14ac:dyDescent="0.25">
      <c r="B48" s="125"/>
    </row>
    <row r="49" spans="2:2" x14ac:dyDescent="0.25">
      <c r="B49" s="125"/>
    </row>
    <row r="50" spans="2:2" x14ac:dyDescent="0.25">
      <c r="B50" s="125"/>
    </row>
  </sheetData>
  <sheetProtection sheet="1" objects="1" scenarios="1"/>
  <mergeCells count="4">
    <mergeCell ref="A3:A10"/>
    <mergeCell ref="A12:A19"/>
    <mergeCell ref="A21:A23"/>
    <mergeCell ref="A40:A43"/>
  </mergeCells>
  <hyperlinks>
    <hyperlink ref="B3" r:id="rId1" display="http://store.buildblock.com/Products/BNCE-20/" xr:uid="{00000000-0004-0000-0C00-000000000000}"/>
    <hyperlink ref="B4" r:id="rId2" display="http://store.buildblock.com/Products/BNCE-NH/" xr:uid="{00000000-0004-0000-0C00-000001000000}"/>
    <hyperlink ref="B12" r:id="rId3" display="http://store.buildblock.com/Products/BR1-10/" xr:uid="{00000000-0004-0000-0C00-000002000000}"/>
    <hyperlink ref="B13" r:id="rId4" display="http://store.buildblock.com/Products/BR1-10P/" xr:uid="{00000000-0004-0000-0C00-000003000000}"/>
    <hyperlink ref="B14" r:id="rId5" display="http://store.buildblock.com/Products/BR3-10P/" xr:uid="{00000000-0004-0000-0C00-000004000000}"/>
    <hyperlink ref="B15" r:id="rId6" display="http://store.buildblock.com/Products/BR3-10/" xr:uid="{00000000-0004-0000-0C00-000005000000}"/>
    <hyperlink ref="B16" r:id="rId7" display="http://store.buildblock.com/Products/BRC-10/" xr:uid="{00000000-0004-0000-0C00-000006000000}"/>
    <hyperlink ref="B21" r:id="rId8" display="http://store.buildblock.com/Products/CRE-S-45/" xr:uid="{00000000-0004-0000-0C00-000007000000}"/>
    <hyperlink ref="B25" r:id="rId9" display="http://store.buildblock.com/Products/DMX-200-20/" xr:uid="{00000000-0004-0000-0C00-000008000000}"/>
    <hyperlink ref="B26" r:id="rId10" display="http://store.buildblock.com/Products/DMX-244-20/" xr:uid="{00000000-0004-0000-0C00-000009000000}"/>
    <hyperlink ref="B27" r:id="rId11" display="http://store.buildblock.com/Products/DMX-FT010/" xr:uid="{00000000-0004-0000-0C00-00000A000000}"/>
    <hyperlink ref="B28" r:id="rId12" display="http://store.buildblock.com/Products/DMX-W200/" xr:uid="{00000000-0004-0000-0C00-00000B000000}"/>
    <hyperlink ref="B30" r:id="rId13" display="http://store.buildblock.com/Products/FF-74/" xr:uid="{00000000-0004-0000-0C00-00000C000000}"/>
    <hyperlink ref="B29" r:id="rId14" display="http://store.buildblock.com/Products/FF-62/" xr:uid="{00000000-0004-0000-0C00-00000D000000}"/>
    <hyperlink ref="B7" r:id="rId15" display="http://store.buildblock.com/Products/WL-2-ICFKIT/" xr:uid="{00000000-0004-0000-0C00-00000E000000}"/>
    <hyperlink ref="B8" r:id="rId16" display="http://store.buildblock.com/Products/TLM-PRO1/" xr:uid="{00000000-0004-0000-0C00-00000F000000}"/>
    <hyperlink ref="B22" r:id="rId17" display="http://store.buildblock.com/Products/EZRAZ-LTL/" xr:uid="{00000000-0004-0000-0C00-000010000000}"/>
    <hyperlink ref="B40" r:id="rId18" display="http://store.buildblock.com/Products/SIM-ICFVL/" xr:uid="{00000000-0004-0000-0C00-000011000000}"/>
    <hyperlink ref="B41" r:id="rId19" display="http://store.buildblock.com/Products/SIM-ICFVL-CW/" xr:uid="{00000000-0004-0000-0C00-000012000000}"/>
    <hyperlink ref="B42" r:id="rId20" display="http://store.buildblock.com/Products/SIM-ICFVL-W/" xr:uid="{00000000-0004-0000-0C00-000013000000}"/>
    <hyperlink ref="B31" r:id="rId21" display="http://store.buildblock.com/Products/TW-6012/" xr:uid="{00000000-0004-0000-0C00-000014000000}"/>
    <hyperlink ref="B32" r:id="rId22" display="http://store.buildblock.com/Products/TW-60/" xr:uid="{00000000-0004-0000-0C00-000015000000}"/>
    <hyperlink ref="B33" r:id="rId23" display="http://store.buildblock.com/Products/TW-TWP-2/" xr:uid="{00000000-0004-0000-0C00-000016000000}"/>
    <hyperlink ref="B9" r:id="rId24" display="http://store.buildblock.com/Products/WL-WI-UICFQCKIT/" xr:uid="{00000000-0004-0000-0C00-000017000000}"/>
    <hyperlink ref="B5" r:id="rId25" display="http://store.buildblock.com/Products/WL-W-EG13/" xr:uid="{00000000-0004-0000-0C00-000018000000}"/>
    <hyperlink ref="B6" r:id="rId26" display="http://store.buildblock.com/Products/WL-W-EG14/" xr:uid="{00000000-0004-0000-0C00-000019000000}"/>
    <hyperlink ref="B17" r:id="rId27" display="http://store.buildblock.com/Products/MPZ/" xr:uid="{00000000-0004-0000-0C00-00001A000000}"/>
    <hyperlink ref="B18" r:id="rId28" display="http://store.buildblock.com/Products/MPZU/" xr:uid="{00000000-0004-0000-0C00-00001B000000}"/>
    <hyperlink ref="B36" r:id="rId29" display="http://store.buildblock.com/Products/WL-W-PGCS/" xr:uid="{00000000-0004-0000-0C00-00001C000000}"/>
    <hyperlink ref="B37" r:id="rId30" display="http://store.buildblock.com/Products/WL-W-CLF2F/" xr:uid="{00000000-0004-0000-0C00-00001D000000}"/>
  </hyperlinks>
  <pageMargins left="0.7" right="0.7" top="0.75" bottom="0.75" header="0.3" footer="0.3"/>
  <pageSetup orientation="portrait" r:id="rId3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2:Z128"/>
  <sheetViews>
    <sheetView zoomScaleNormal="100" workbookViewId="0">
      <selection activeCell="B5" sqref="B5"/>
    </sheetView>
  </sheetViews>
  <sheetFormatPr defaultRowHeight="15" x14ac:dyDescent="0.25"/>
  <cols>
    <col min="1" max="1" width="9.140625" style="21"/>
    <col min="2" max="2" width="25.7109375" style="21" bestFit="1" customWidth="1"/>
    <col min="3" max="4" width="28.140625" style="21" bestFit="1" customWidth="1"/>
    <col min="5" max="5" width="27" style="21" bestFit="1" customWidth="1"/>
    <col min="6" max="6" width="18" style="21" bestFit="1" customWidth="1"/>
    <col min="7" max="7" width="16.42578125" style="21" bestFit="1" customWidth="1"/>
    <col min="8" max="8" width="11.85546875" style="21" bestFit="1" customWidth="1"/>
    <col min="9" max="9" width="16" style="21" bestFit="1" customWidth="1"/>
    <col min="10" max="10" width="17" style="21" bestFit="1" customWidth="1"/>
    <col min="11" max="11" width="17.28515625" style="21" bestFit="1" customWidth="1"/>
    <col min="12" max="12" width="22.42578125" style="21" bestFit="1" customWidth="1"/>
    <col min="13" max="13" width="14.5703125" style="21" customWidth="1"/>
    <col min="14" max="14" width="17.42578125" style="21" bestFit="1" customWidth="1"/>
    <col min="15" max="15" width="16.42578125" style="21" bestFit="1" customWidth="1"/>
    <col min="16" max="16" width="19.85546875" style="21" bestFit="1" customWidth="1"/>
    <col min="17" max="17" width="11.42578125" style="21" bestFit="1" customWidth="1"/>
    <col min="18" max="18" width="10.28515625" style="21" customWidth="1"/>
    <col min="19" max="19" width="12" style="21" bestFit="1" customWidth="1"/>
    <col min="20" max="20" width="11.28515625" style="21" bestFit="1" customWidth="1"/>
    <col min="21" max="16384" width="9.140625" style="21"/>
  </cols>
  <sheetData>
    <row r="2" spans="2:20" ht="15.75" thickBot="1" x14ac:dyDescent="0.3"/>
    <row r="3" spans="2:20" s="38" customFormat="1" ht="19.5" thickBot="1" x14ac:dyDescent="0.35">
      <c r="B3" s="820" t="s">
        <v>133</v>
      </c>
      <c r="C3" s="821"/>
      <c r="D3" s="821"/>
      <c r="E3" s="821"/>
      <c r="F3" s="821"/>
      <c r="G3" s="821"/>
      <c r="H3" s="821"/>
      <c r="I3" s="822"/>
      <c r="K3" s="815" t="s">
        <v>134</v>
      </c>
      <c r="L3" s="815"/>
      <c r="M3" s="815"/>
      <c r="N3" s="815"/>
      <c r="O3" s="815"/>
      <c r="P3" s="815"/>
    </row>
    <row r="4" spans="2:20" x14ac:dyDescent="0.25">
      <c r="B4" s="30" t="s">
        <v>125</v>
      </c>
      <c r="C4" s="31" t="s">
        <v>126</v>
      </c>
      <c r="D4" s="31" t="s">
        <v>127</v>
      </c>
      <c r="E4" s="32" t="s">
        <v>128</v>
      </c>
      <c r="F4" s="22" t="s">
        <v>541</v>
      </c>
      <c r="G4" s="23" t="s">
        <v>129</v>
      </c>
      <c r="H4" s="23" t="s">
        <v>542</v>
      </c>
      <c r="I4" s="24"/>
      <c r="K4" s="39" t="s">
        <v>135</v>
      </c>
      <c r="L4" s="39" t="s">
        <v>60</v>
      </c>
      <c r="M4" s="39" t="s">
        <v>136</v>
      </c>
      <c r="N4" s="39" t="s">
        <v>138</v>
      </c>
      <c r="O4" s="39" t="s">
        <v>137</v>
      </c>
      <c r="P4" s="49"/>
      <c r="Q4" s="54">
        <v>74</v>
      </c>
      <c r="R4" s="55" t="s">
        <v>155</v>
      </c>
    </row>
    <row r="5" spans="2:20" ht="15.75" thickBot="1" x14ac:dyDescent="0.3">
      <c r="B5" s="56">
        <v>0</v>
      </c>
      <c r="C5" s="57">
        <f>ROUND(DEGREES(ATAN(B5/12)),1)</f>
        <v>0</v>
      </c>
      <c r="D5" s="34">
        <v>0</v>
      </c>
      <c r="E5" s="35">
        <f>H5</f>
        <v>0</v>
      </c>
      <c r="F5" s="432">
        <f>B5*(I5/2)</f>
        <v>0</v>
      </c>
      <c r="G5" s="25">
        <f>ROUNDUP(((I5*12)/48)/0.5,0)*0.5</f>
        <v>0</v>
      </c>
      <c r="H5" s="433">
        <f t="shared" ref="H5:H22" si="0">F5/12</f>
        <v>0</v>
      </c>
      <c r="I5" s="438">
        <f>D5</f>
        <v>0</v>
      </c>
      <c r="K5" s="42">
        <v>0</v>
      </c>
      <c r="L5" s="42">
        <v>0</v>
      </c>
      <c r="M5" s="43">
        <v>0</v>
      </c>
      <c r="N5" s="44">
        <v>5</v>
      </c>
      <c r="O5" s="45">
        <v>4</v>
      </c>
      <c r="P5" s="49"/>
      <c r="Q5" s="54">
        <v>62</v>
      </c>
      <c r="R5" s="55" t="s">
        <v>154</v>
      </c>
    </row>
    <row r="6" spans="2:20" x14ac:dyDescent="0.25">
      <c r="B6" s="63" t="s">
        <v>63</v>
      </c>
      <c r="C6" s="64" t="s">
        <v>60</v>
      </c>
      <c r="D6" s="27" t="e">
        <f t="shared" ref="D6:D22" si="1">INT(I6) &amp; " ft " &amp; TEXT(MOD(I6,1)*12, "# ??/16 ""in""")</f>
        <v>#DIV/0!</v>
      </c>
      <c r="E6" s="27" t="str">
        <f>INT(H6) &amp; " ft " &amp; TEXT(MOD(H6,1)*12, "# ??/16 ""in""")</f>
        <v>-2 ft 8       in</v>
      </c>
      <c r="F6" s="432">
        <f>F5-16</f>
        <v>-16</v>
      </c>
      <c r="G6" s="25" t="e">
        <f t="shared" ref="G6:G22" si="2">ROUNDUP(((I6*12)/48)/0.5,0)*0.5</f>
        <v>#DIV/0!</v>
      </c>
      <c r="H6" s="433">
        <f t="shared" si="0"/>
        <v>-1.3333333333333333</v>
      </c>
      <c r="I6" s="434" t="e">
        <f>(F6/$B$5)*2</f>
        <v>#DIV/0!</v>
      </c>
      <c r="K6" s="48"/>
      <c r="L6" s="48"/>
      <c r="M6" s="48"/>
      <c r="N6" s="33" t="s">
        <v>140</v>
      </c>
      <c r="O6" s="33" t="s">
        <v>141</v>
      </c>
      <c r="P6" s="33" t="s">
        <v>142</v>
      </c>
      <c r="Q6" s="54">
        <v>50</v>
      </c>
      <c r="R6" s="55" t="s">
        <v>153</v>
      </c>
    </row>
    <row r="7" spans="2:20" x14ac:dyDescent="0.25">
      <c r="B7" s="61">
        <v>0</v>
      </c>
      <c r="C7" s="62">
        <v>0</v>
      </c>
      <c r="D7" s="27" t="e">
        <f t="shared" si="1"/>
        <v>#DIV/0!</v>
      </c>
      <c r="E7" s="27" t="str">
        <f t="shared" ref="E7:E22" si="3">INT(H7) &amp; " ft " &amp; TEXT(MOD(H7,1)*12, "# ??/16 ""in""")</f>
        <v>-3 ft 4       in</v>
      </c>
      <c r="F7" s="432">
        <f>F6-16</f>
        <v>-32</v>
      </c>
      <c r="G7" s="25" t="e">
        <f t="shared" si="2"/>
        <v>#DIV/0!</v>
      </c>
      <c r="H7" s="433">
        <f t="shared" si="0"/>
        <v>-2.6666666666666665</v>
      </c>
      <c r="I7" s="434" t="e">
        <f t="shared" ref="I7:I22" si="4">(F7/$B$5)*2</f>
        <v>#DIV/0!</v>
      </c>
      <c r="K7" s="48"/>
      <c r="L7" s="48"/>
      <c r="M7" s="48"/>
      <c r="N7" s="44">
        <v>4</v>
      </c>
      <c r="O7" s="46">
        <v>4</v>
      </c>
      <c r="P7" s="45">
        <v>2</v>
      </c>
      <c r="Q7" s="54">
        <v>37</v>
      </c>
      <c r="R7" s="55" t="s">
        <v>152</v>
      </c>
    </row>
    <row r="8" spans="2:20" x14ac:dyDescent="0.25">
      <c r="B8" s="816" t="s">
        <v>130</v>
      </c>
      <c r="C8" s="817"/>
      <c r="D8" s="27" t="e">
        <f t="shared" si="1"/>
        <v>#DIV/0!</v>
      </c>
      <c r="E8" s="27" t="str">
        <f t="shared" si="3"/>
        <v>-4 ft 0       in</v>
      </c>
      <c r="F8" s="432">
        <f t="shared" ref="F8:F14" si="5">F7-16</f>
        <v>-48</v>
      </c>
      <c r="G8" s="25" t="e">
        <f t="shared" si="2"/>
        <v>#DIV/0!</v>
      </c>
      <c r="H8" s="433">
        <f t="shared" si="0"/>
        <v>-4</v>
      </c>
      <c r="I8" s="434" t="e">
        <f t="shared" si="4"/>
        <v>#DIV/0!</v>
      </c>
      <c r="K8" s="823" t="s">
        <v>40</v>
      </c>
      <c r="L8" s="824"/>
      <c r="M8" s="40">
        <f>ROUNDUP(((K5*L5)/144)*M5/27,0)</f>
        <v>0</v>
      </c>
      <c r="Q8"/>
      <c r="R8"/>
    </row>
    <row r="9" spans="2:20" ht="15.75" thickBot="1" x14ac:dyDescent="0.3">
      <c r="B9" s="818" t="e">
        <f t="array" ref="B9">ROUNDUP(SUM(IF(G5:G22&gt;=0,G5:G22,0)),0)</f>
        <v>#DIV/0!</v>
      </c>
      <c r="C9" s="819"/>
      <c r="D9" s="27" t="e">
        <f t="shared" si="1"/>
        <v>#DIV/0!</v>
      </c>
      <c r="E9" s="27" t="str">
        <f t="shared" si="3"/>
        <v>-6 ft 8       in</v>
      </c>
      <c r="F9" s="432">
        <f t="shared" si="5"/>
        <v>-64</v>
      </c>
      <c r="G9" s="25" t="e">
        <f t="shared" si="2"/>
        <v>#DIV/0!</v>
      </c>
      <c r="H9" s="433">
        <f t="shared" si="0"/>
        <v>-5.333333333333333</v>
      </c>
      <c r="I9" s="434" t="e">
        <f t="shared" si="4"/>
        <v>#DIV/0!</v>
      </c>
      <c r="K9" s="823" t="s">
        <v>139</v>
      </c>
      <c r="L9" s="824"/>
      <c r="M9" s="41">
        <f>ROUNDUP(M5*O5+(M5/20*O5)*(N5/8*48)/12,0)</f>
        <v>0</v>
      </c>
      <c r="N9" s="50">
        <f>ROUNDUP(M9/20,0)</f>
        <v>0</v>
      </c>
    </row>
    <row r="10" spans="2:20" ht="15.75" thickBot="1" x14ac:dyDescent="0.3">
      <c r="B10" s="71" t="s">
        <v>256</v>
      </c>
      <c r="C10" s="70">
        <f>(B5/12)</f>
        <v>0</v>
      </c>
      <c r="D10" s="27" t="e">
        <f t="shared" si="1"/>
        <v>#DIV/0!</v>
      </c>
      <c r="E10" s="27" t="str">
        <f t="shared" si="3"/>
        <v>-7 ft 4       in</v>
      </c>
      <c r="F10" s="432">
        <f t="shared" si="5"/>
        <v>-80</v>
      </c>
      <c r="G10" s="25" t="e">
        <f t="shared" si="2"/>
        <v>#DIV/0!</v>
      </c>
      <c r="H10" s="433">
        <f t="shared" si="0"/>
        <v>-6.666666666666667</v>
      </c>
      <c r="I10" s="434" t="e">
        <f t="shared" si="4"/>
        <v>#DIV/0!</v>
      </c>
      <c r="K10" s="814" t="s">
        <v>140</v>
      </c>
      <c r="L10" s="814"/>
      <c r="M10" s="41">
        <f>ROUNDUP((M5/O7)*P7*(L5/12),0)</f>
        <v>0</v>
      </c>
      <c r="N10" s="50">
        <f>ROUNDUP(M10/20,0)</f>
        <v>0</v>
      </c>
    </row>
    <row r="11" spans="2:20" x14ac:dyDescent="0.25">
      <c r="B11" s="26"/>
      <c r="C11" s="58"/>
      <c r="D11" s="27" t="e">
        <f t="shared" si="1"/>
        <v>#DIV/0!</v>
      </c>
      <c r="E11" s="27" t="str">
        <f t="shared" si="3"/>
        <v>-8 ft 0       in</v>
      </c>
      <c r="F11" s="432">
        <f t="shared" si="5"/>
        <v>-96</v>
      </c>
      <c r="G11" s="25" t="e">
        <f t="shared" si="2"/>
        <v>#DIV/0!</v>
      </c>
      <c r="H11" s="433">
        <f t="shared" si="0"/>
        <v>-8</v>
      </c>
      <c r="I11" s="434" t="e">
        <f t="shared" si="4"/>
        <v>#DIV/0!</v>
      </c>
      <c r="K11" s="52" t="s">
        <v>151</v>
      </c>
      <c r="L11" s="51">
        <f>L5+(2*K5)</f>
        <v>0</v>
      </c>
      <c r="M11" s="53" t="str">
        <f>INDEX(R4:R7,MATCH(L11,Q4:Q7,-1))</f>
        <v>Edging</v>
      </c>
    </row>
    <row r="12" spans="2:20" x14ac:dyDescent="0.25">
      <c r="B12" s="26"/>
      <c r="C12" s="58"/>
      <c r="D12" s="27" t="e">
        <f t="shared" si="1"/>
        <v>#DIV/0!</v>
      </c>
      <c r="E12" s="27" t="str">
        <f t="shared" si="3"/>
        <v>-10 ft 8       in</v>
      </c>
      <c r="F12" s="432">
        <f t="shared" si="5"/>
        <v>-112</v>
      </c>
      <c r="G12" s="25" t="e">
        <f t="shared" si="2"/>
        <v>#DIV/0!</v>
      </c>
      <c r="H12" s="433">
        <f t="shared" si="0"/>
        <v>-9.3333333333333339</v>
      </c>
      <c r="I12" s="434" t="e">
        <f t="shared" si="4"/>
        <v>#DIV/0!</v>
      </c>
    </row>
    <row r="13" spans="2:20" x14ac:dyDescent="0.25">
      <c r="B13" s="26"/>
      <c r="C13" s="58"/>
      <c r="D13" s="27" t="e">
        <f t="shared" si="1"/>
        <v>#DIV/0!</v>
      </c>
      <c r="E13" s="27" t="str">
        <f t="shared" si="3"/>
        <v>-11 ft 4       in</v>
      </c>
      <c r="F13" s="432">
        <f t="shared" si="5"/>
        <v>-128</v>
      </c>
      <c r="G13" s="25" t="e">
        <f t="shared" si="2"/>
        <v>#DIV/0!</v>
      </c>
      <c r="H13" s="433">
        <f t="shared" si="0"/>
        <v>-10.666666666666666</v>
      </c>
      <c r="I13" s="434" t="e">
        <f t="shared" si="4"/>
        <v>#DIV/0!</v>
      </c>
      <c r="P13"/>
    </row>
    <row r="14" spans="2:20" ht="15.75" thickBot="1" x14ac:dyDescent="0.3">
      <c r="B14" s="26"/>
      <c r="C14" s="58"/>
      <c r="D14" s="27" t="e">
        <f t="shared" si="1"/>
        <v>#DIV/0!</v>
      </c>
      <c r="E14" s="27" t="str">
        <f t="shared" si="3"/>
        <v>-12 ft 0       in</v>
      </c>
      <c r="F14" s="432">
        <f t="shared" si="5"/>
        <v>-144</v>
      </c>
      <c r="G14" s="25" t="e">
        <f t="shared" si="2"/>
        <v>#DIV/0!</v>
      </c>
      <c r="H14" s="433">
        <f t="shared" si="0"/>
        <v>-12</v>
      </c>
      <c r="I14" s="434" t="e">
        <f t="shared" si="4"/>
        <v>#DIV/0!</v>
      </c>
      <c r="K14" s="813" t="s">
        <v>145</v>
      </c>
      <c r="L14" s="813"/>
      <c r="M14" s="813"/>
      <c r="N14" s="813"/>
      <c r="O14" s="813"/>
    </row>
    <row r="15" spans="2:20" x14ac:dyDescent="0.25">
      <c r="B15" s="26"/>
      <c r="C15" s="58"/>
      <c r="D15" s="27" t="e">
        <f t="shared" si="1"/>
        <v>#DIV/0!</v>
      </c>
      <c r="E15" s="27" t="str">
        <f t="shared" si="3"/>
        <v>-14 ft 8       in</v>
      </c>
      <c r="F15" s="432">
        <f>F14-16</f>
        <v>-160</v>
      </c>
      <c r="G15" s="25" t="e">
        <f t="shared" si="2"/>
        <v>#DIV/0!</v>
      </c>
      <c r="H15" s="433">
        <f t="shared" si="0"/>
        <v>-13.333333333333334</v>
      </c>
      <c r="I15" s="434" t="e">
        <f t="shared" si="4"/>
        <v>#DIV/0!</v>
      </c>
      <c r="K15" s="82" t="s">
        <v>13</v>
      </c>
      <c r="L15" s="83" t="s">
        <v>41</v>
      </c>
      <c r="M15" s="84" t="s">
        <v>11</v>
      </c>
      <c r="N15" s="85" t="s">
        <v>11</v>
      </c>
      <c r="O15" s="85" t="s">
        <v>144</v>
      </c>
      <c r="Q15" s="798" t="s">
        <v>289</v>
      </c>
      <c r="R15" s="798"/>
      <c r="S15" s="798"/>
      <c r="T15" s="798"/>
    </row>
    <row r="16" spans="2:20" ht="15.75" thickBot="1" x14ac:dyDescent="0.3">
      <c r="B16" s="65" t="s">
        <v>126</v>
      </c>
      <c r="C16" s="66" t="s">
        <v>125</v>
      </c>
      <c r="D16" s="27" t="e">
        <f t="shared" si="1"/>
        <v>#DIV/0!</v>
      </c>
      <c r="E16" s="27" t="str">
        <f t="shared" si="3"/>
        <v>-15 ft 4       in</v>
      </c>
      <c r="F16" s="432">
        <f>F15-16</f>
        <v>-176</v>
      </c>
      <c r="G16" s="25" t="e">
        <f t="shared" si="2"/>
        <v>#DIV/0!</v>
      </c>
      <c r="H16" s="433">
        <f t="shared" si="0"/>
        <v>-14.666666666666666</v>
      </c>
      <c r="I16" s="434" t="e">
        <f t="shared" si="4"/>
        <v>#DIV/0!</v>
      </c>
      <c r="K16" s="86">
        <v>136</v>
      </c>
      <c r="L16" s="87">
        <v>10</v>
      </c>
      <c r="M16" s="88">
        <v>8</v>
      </c>
      <c r="N16" s="99">
        <v>16</v>
      </c>
      <c r="O16" s="99">
        <v>3</v>
      </c>
      <c r="Q16" s="100" t="s">
        <v>290</v>
      </c>
      <c r="R16" s="101" t="s">
        <v>291</v>
      </c>
      <c r="S16" s="101" t="s">
        <v>292</v>
      </c>
      <c r="T16" s="100" t="s">
        <v>293</v>
      </c>
    </row>
    <row r="17" spans="2:20" ht="15.75" thickBot="1" x14ac:dyDescent="0.3">
      <c r="B17" s="419">
        <v>45</v>
      </c>
      <c r="C17" s="417">
        <f>ROUND(TAN(RADIANS(B17))*12,0)</f>
        <v>12</v>
      </c>
      <c r="D17" s="27" t="e">
        <f t="shared" si="1"/>
        <v>#DIV/0!</v>
      </c>
      <c r="E17" s="27" t="str">
        <f t="shared" si="3"/>
        <v>-16 ft 0       in</v>
      </c>
      <c r="F17" s="432">
        <f t="shared" ref="F17:F22" si="6">F16-16</f>
        <v>-192</v>
      </c>
      <c r="G17" s="25" t="e">
        <f t="shared" si="2"/>
        <v>#DIV/0!</v>
      </c>
      <c r="H17" s="433">
        <f t="shared" si="0"/>
        <v>-16</v>
      </c>
      <c r="I17" s="434" t="e">
        <f t="shared" si="4"/>
        <v>#DIV/0!</v>
      </c>
      <c r="K17" s="89"/>
      <c r="L17" s="90"/>
      <c r="M17" s="90"/>
      <c r="N17" s="99">
        <v>15</v>
      </c>
      <c r="O17" s="99">
        <v>3</v>
      </c>
      <c r="Q17" s="106">
        <v>1</v>
      </c>
      <c r="R17" s="107">
        <f>Q17*27</f>
        <v>27</v>
      </c>
      <c r="S17" s="107">
        <f>R17*1728</f>
        <v>46656</v>
      </c>
      <c r="T17" s="103">
        <f>S17/(Q19*144)</f>
        <v>81</v>
      </c>
    </row>
    <row r="18" spans="2:20" ht="15.75" thickBot="1" x14ac:dyDescent="0.3">
      <c r="B18" s="421">
        <v>0</v>
      </c>
      <c r="C18" s="422">
        <f>DEGREES(ATAN(B18/12))</f>
        <v>0</v>
      </c>
      <c r="D18" s="27" t="e">
        <f t="shared" si="1"/>
        <v>#DIV/0!</v>
      </c>
      <c r="E18" s="27" t="str">
        <f t="shared" si="3"/>
        <v>-18 ft 8       in</v>
      </c>
      <c r="F18" s="432">
        <f t="shared" si="6"/>
        <v>-208</v>
      </c>
      <c r="G18" s="25" t="e">
        <f t="shared" si="2"/>
        <v>#DIV/0!</v>
      </c>
      <c r="H18" s="433">
        <f t="shared" si="0"/>
        <v>-17.333333333333332</v>
      </c>
      <c r="I18" s="434" t="e">
        <f t="shared" si="4"/>
        <v>#DIV/0!</v>
      </c>
      <c r="K18" s="91">
        <f>ROUNDUP((K16/6)+L16,0)</f>
        <v>33</v>
      </c>
      <c r="L18" s="92"/>
      <c r="M18" s="92">
        <f>IF(M16&gt;=1,INDEX(Table13[],MATCH(M16,Table13[Wall Height],0),2),0)</f>
        <v>2</v>
      </c>
      <c r="N18" s="99">
        <v>14</v>
      </c>
      <c r="O18" s="99">
        <v>3</v>
      </c>
      <c r="Q18" s="100" t="s">
        <v>135</v>
      </c>
      <c r="R18" s="100"/>
      <c r="S18" s="100"/>
      <c r="T18" s="100"/>
    </row>
    <row r="19" spans="2:20" x14ac:dyDescent="0.25">
      <c r="B19" s="420" t="s">
        <v>63</v>
      </c>
      <c r="C19" s="418" t="s">
        <v>125</v>
      </c>
      <c r="D19" s="27" t="e">
        <f t="shared" si="1"/>
        <v>#DIV/0!</v>
      </c>
      <c r="E19" s="27" t="str">
        <f t="shared" si="3"/>
        <v>-19 ft 4       in</v>
      </c>
      <c r="F19" s="432">
        <f t="shared" si="6"/>
        <v>-224</v>
      </c>
      <c r="G19" s="25" t="e">
        <f t="shared" si="2"/>
        <v>#DIV/0!</v>
      </c>
      <c r="H19" s="433">
        <f t="shared" si="0"/>
        <v>-18.666666666666668</v>
      </c>
      <c r="I19" s="434" t="e">
        <f t="shared" si="4"/>
        <v>#DIV/0!</v>
      </c>
      <c r="K19" s="93" t="s">
        <v>143</v>
      </c>
      <c r="L19" s="94"/>
      <c r="M19" s="95">
        <f>ROUNDUP(M18*K18,0)</f>
        <v>66</v>
      </c>
      <c r="N19" s="99">
        <v>13</v>
      </c>
      <c r="O19" s="99">
        <v>3</v>
      </c>
      <c r="Q19" s="104">
        <v>4</v>
      </c>
      <c r="R19" s="100"/>
      <c r="S19" s="100"/>
      <c r="T19" s="100"/>
    </row>
    <row r="20" spans="2:20" x14ac:dyDescent="0.25">
      <c r="B20" s="36">
        <v>0</v>
      </c>
      <c r="C20" s="59">
        <f>IF(B22=0,0,B20/(0.5*B22)*12)</f>
        <v>0</v>
      </c>
      <c r="D20" s="27" t="e">
        <f t="shared" si="1"/>
        <v>#DIV/0!</v>
      </c>
      <c r="E20" s="27" t="str">
        <f t="shared" si="3"/>
        <v>-20 ft 0       in</v>
      </c>
      <c r="F20" s="432">
        <f t="shared" si="6"/>
        <v>-240</v>
      </c>
      <c r="G20" s="25" t="e">
        <f t="shared" si="2"/>
        <v>#DIV/0!</v>
      </c>
      <c r="H20" s="433">
        <f t="shared" si="0"/>
        <v>-20</v>
      </c>
      <c r="I20" s="434" t="e">
        <f t="shared" si="4"/>
        <v>#DIV/0!</v>
      </c>
      <c r="K20" s="93" t="s">
        <v>146</v>
      </c>
      <c r="L20" s="94"/>
      <c r="M20" s="94">
        <f>K18</f>
        <v>33</v>
      </c>
      <c r="N20" s="99">
        <v>12</v>
      </c>
      <c r="O20" s="99">
        <v>3</v>
      </c>
      <c r="Q20" s="100" t="s">
        <v>293</v>
      </c>
      <c r="R20" s="102" t="s">
        <v>291</v>
      </c>
      <c r="S20" s="100" t="s">
        <v>294</v>
      </c>
      <c r="T20" s="100"/>
    </row>
    <row r="21" spans="2:20" x14ac:dyDescent="0.25">
      <c r="B21" s="65" t="s">
        <v>60</v>
      </c>
      <c r="C21" s="58"/>
      <c r="D21" s="27" t="e">
        <f t="shared" si="1"/>
        <v>#DIV/0!</v>
      </c>
      <c r="E21" s="27" t="str">
        <f t="shared" si="3"/>
        <v>-22 ft 8       in</v>
      </c>
      <c r="F21" s="432">
        <f>F20-16</f>
        <v>-256</v>
      </c>
      <c r="G21" s="25" t="e">
        <f t="shared" si="2"/>
        <v>#DIV/0!</v>
      </c>
      <c r="H21" s="433">
        <f t="shared" si="0"/>
        <v>-21.333333333333332</v>
      </c>
      <c r="I21" s="434" t="e">
        <f t="shared" si="4"/>
        <v>#DIV/0!</v>
      </c>
      <c r="K21" s="93" t="s">
        <v>147</v>
      </c>
      <c r="L21" s="94" t="s">
        <v>150</v>
      </c>
      <c r="M21" s="94">
        <f>ROUNDUP(K18/2*M18,0)</f>
        <v>33</v>
      </c>
      <c r="N21" s="99">
        <v>11</v>
      </c>
      <c r="O21" s="99">
        <v>3</v>
      </c>
      <c r="Q21" s="105">
        <v>2000</v>
      </c>
      <c r="R21" s="103">
        <f>Q21*(Q23/12)</f>
        <v>666.66666666666663</v>
      </c>
      <c r="S21" s="103">
        <f>R21/27</f>
        <v>24.691358024691358</v>
      </c>
      <c r="T21" s="100"/>
    </row>
    <row r="22" spans="2:20" ht="15.75" thickBot="1" x14ac:dyDescent="0.3">
      <c r="B22" s="37">
        <v>0</v>
      </c>
      <c r="C22" s="60"/>
      <c r="D22" s="28" t="e">
        <f t="shared" si="1"/>
        <v>#DIV/0!</v>
      </c>
      <c r="E22" s="28" t="str">
        <f t="shared" si="3"/>
        <v>-23 ft 4       in</v>
      </c>
      <c r="F22" s="435">
        <f t="shared" si="6"/>
        <v>-272</v>
      </c>
      <c r="G22" s="29" t="e">
        <f t="shared" si="2"/>
        <v>#DIV/0!</v>
      </c>
      <c r="H22" s="436">
        <f t="shared" si="0"/>
        <v>-22.666666666666668</v>
      </c>
      <c r="I22" s="437" t="e">
        <f t="shared" si="4"/>
        <v>#DIV/0!</v>
      </c>
      <c r="K22" s="93" t="s">
        <v>148</v>
      </c>
      <c r="L22" s="94" t="s">
        <v>149</v>
      </c>
      <c r="M22" s="94">
        <f>K18</f>
        <v>33</v>
      </c>
      <c r="N22" s="99">
        <v>10</v>
      </c>
      <c r="O22" s="99">
        <v>2</v>
      </c>
      <c r="Q22" s="100" t="s">
        <v>135</v>
      </c>
      <c r="R22" s="100"/>
      <c r="S22" s="100"/>
      <c r="T22" s="100"/>
    </row>
    <row r="23" spans="2:20" ht="15.75" thickBot="1" x14ac:dyDescent="0.3">
      <c r="B23" s="74" t="s">
        <v>257</v>
      </c>
      <c r="C23" s="72">
        <v>0.05</v>
      </c>
      <c r="D23" s="73">
        <f>ROUND(C23*12,0)</f>
        <v>1</v>
      </c>
      <c r="K23" s="93"/>
      <c r="L23" s="94"/>
      <c r="M23" s="94"/>
      <c r="N23" s="99">
        <v>9</v>
      </c>
      <c r="O23" s="99">
        <v>2</v>
      </c>
      <c r="Q23" s="104">
        <v>4</v>
      </c>
      <c r="R23" s="100"/>
      <c r="S23" s="100"/>
      <c r="T23" s="100"/>
    </row>
    <row r="24" spans="2:20" x14ac:dyDescent="0.25">
      <c r="K24" s="93"/>
      <c r="L24" s="94"/>
      <c r="M24" s="94"/>
      <c r="N24" s="99">
        <v>8</v>
      </c>
      <c r="O24" s="99">
        <v>2</v>
      </c>
    </row>
    <row r="25" spans="2:20" x14ac:dyDescent="0.25">
      <c r="K25" s="93"/>
      <c r="L25" s="94"/>
      <c r="M25" s="94"/>
      <c r="N25" s="99">
        <v>7</v>
      </c>
      <c r="O25" s="99">
        <v>2</v>
      </c>
    </row>
    <row r="26" spans="2:20" x14ac:dyDescent="0.25">
      <c r="K26" s="96"/>
      <c r="L26" s="95"/>
      <c r="M26" s="95"/>
      <c r="N26" s="99">
        <v>6</v>
      </c>
      <c r="O26" s="99">
        <v>2</v>
      </c>
    </row>
    <row r="27" spans="2:20" x14ac:dyDescent="0.25">
      <c r="B27" s="108" t="s">
        <v>483</v>
      </c>
      <c r="C27" s="108" t="s">
        <v>484</v>
      </c>
      <c r="D27" s="108" t="s">
        <v>485</v>
      </c>
      <c r="E27" s="108" t="s">
        <v>126</v>
      </c>
      <c r="F27" s="108" t="s">
        <v>486</v>
      </c>
      <c r="G27" s="108" t="s">
        <v>487</v>
      </c>
      <c r="K27" s="96"/>
      <c r="L27" s="95"/>
      <c r="M27" s="95"/>
      <c r="N27" s="99">
        <v>5</v>
      </c>
      <c r="O27" s="99">
        <v>2</v>
      </c>
    </row>
    <row r="28" spans="2:20" x14ac:dyDescent="0.25">
      <c r="B28" s="199">
        <v>8</v>
      </c>
      <c r="C28" s="196">
        <v>16</v>
      </c>
      <c r="D28" s="200">
        <v>10</v>
      </c>
      <c r="E28" s="197">
        <f>((C28/12)*180)/(PI()*D28)</f>
        <v>7.6394372684109761</v>
      </c>
      <c r="F28" s="110">
        <f>D28-((B28+5)/12)</f>
        <v>8.9166666666666661</v>
      </c>
      <c r="G28" s="198">
        <f>(E28*((PI()/180)*F28))*12</f>
        <v>14.266666666666664</v>
      </c>
      <c r="K28" s="96"/>
      <c r="L28" s="95"/>
      <c r="M28" s="95"/>
      <c r="N28" s="99">
        <v>4</v>
      </c>
      <c r="O28" s="99">
        <v>1</v>
      </c>
    </row>
    <row r="29" spans="2:20" x14ac:dyDescent="0.25">
      <c r="K29" s="96"/>
      <c r="L29" s="95"/>
      <c r="M29" s="95"/>
      <c r="N29" s="99">
        <v>3</v>
      </c>
      <c r="O29" s="99">
        <v>1</v>
      </c>
    </row>
    <row r="30" spans="2:20" ht="15.75" thickBot="1" x14ac:dyDescent="0.3">
      <c r="K30" s="96"/>
      <c r="L30" s="95"/>
      <c r="M30" s="95"/>
      <c r="N30" s="99">
        <v>2</v>
      </c>
      <c r="O30" s="99">
        <v>1</v>
      </c>
    </row>
    <row r="31" spans="2:20" ht="15.75" thickBot="1" x14ac:dyDescent="0.3">
      <c r="B31" s="799" t="s">
        <v>259</v>
      </c>
      <c r="C31" s="800"/>
      <c r="D31" s="75"/>
      <c r="E31" s="75"/>
      <c r="F31" s="75"/>
      <c r="G31" s="75"/>
      <c r="H31" s="76"/>
      <c r="K31" s="97"/>
      <c r="L31" s="98"/>
      <c r="M31" s="98"/>
      <c r="N31" s="99">
        <v>1</v>
      </c>
      <c r="O31" s="99">
        <v>1</v>
      </c>
    </row>
    <row r="32" spans="2:20" ht="15.75" thickBot="1" x14ac:dyDescent="0.3">
      <c r="B32" s="77" t="s">
        <v>260</v>
      </c>
      <c r="C32" s="77" t="s">
        <v>261</v>
      </c>
      <c r="D32" s="799" t="s">
        <v>262</v>
      </c>
      <c r="E32" s="800"/>
      <c r="F32" s="799" t="s">
        <v>263</v>
      </c>
      <c r="G32" s="803"/>
      <c r="H32" s="800"/>
      <c r="O32" s="47"/>
    </row>
    <row r="33" spans="1:26" ht="15.75" thickBot="1" x14ac:dyDescent="0.3">
      <c r="B33" s="81">
        <v>8</v>
      </c>
      <c r="C33" s="81">
        <f>ROUNDUP((B33*2)*PI(),0)</f>
        <v>51</v>
      </c>
      <c r="D33" s="801">
        <v>180</v>
      </c>
      <c r="E33" s="802"/>
      <c r="F33" s="801">
        <f>ROUNDUP((C33*D33)/360,0)</f>
        <v>26</v>
      </c>
      <c r="G33" s="804"/>
      <c r="H33" s="802"/>
    </row>
    <row r="34" spans="1:26" ht="15.75" thickBot="1" x14ac:dyDescent="0.3">
      <c r="B34" s="78"/>
      <c r="C34" s="79"/>
      <c r="D34" s="79"/>
      <c r="E34" s="79"/>
      <c r="F34" s="79"/>
      <c r="G34" s="79"/>
      <c r="H34" s="80"/>
      <c r="O34" s="47"/>
    </row>
    <row r="35" spans="1:26" ht="15.75" thickBot="1" x14ac:dyDescent="0.3">
      <c r="K35" s="443" t="s">
        <v>266</v>
      </c>
      <c r="L35" s="444"/>
      <c r="M35" s="444"/>
      <c r="N35" s="444"/>
      <c r="O35" s="444"/>
      <c r="P35" s="444"/>
      <c r="Q35" s="444"/>
      <c r="R35" s="444"/>
      <c r="S35" s="444"/>
      <c r="T35" s="444"/>
      <c r="U35" s="444"/>
      <c r="V35" s="444"/>
      <c r="W35" s="444"/>
      <c r="X35" s="444"/>
      <c r="Y35" s="444"/>
      <c r="Z35" s="445"/>
    </row>
    <row r="36" spans="1:26" x14ac:dyDescent="0.25">
      <c r="A36" s="68"/>
      <c r="B36" s="94" t="s">
        <v>264</v>
      </c>
      <c r="C36" s="68"/>
      <c r="D36" s="68"/>
      <c r="E36" s="68"/>
      <c r="F36" s="68"/>
      <c r="G36" s="68"/>
      <c r="H36" s="68"/>
      <c r="I36" s="68"/>
      <c r="J36" s="68"/>
      <c r="K36" s="443"/>
      <c r="L36" s="444"/>
      <c r="M36" s="444"/>
      <c r="N36" s="444"/>
      <c r="O36" s="444"/>
      <c r="P36" s="444"/>
      <c r="Q36" s="445"/>
      <c r="R36" s="446"/>
      <c r="S36" s="446"/>
      <c r="T36" s="446"/>
      <c r="U36" s="446"/>
      <c r="V36" s="446"/>
      <c r="W36" s="446"/>
      <c r="X36" s="446"/>
      <c r="Y36" s="446"/>
      <c r="Z36" s="447"/>
    </row>
    <row r="37" spans="1:26" x14ac:dyDescent="0.25">
      <c r="A37" s="68"/>
      <c r="B37" s="68"/>
      <c r="C37" s="68"/>
      <c r="D37" s="68"/>
      <c r="E37" s="68"/>
      <c r="F37" s="68"/>
      <c r="G37" s="68"/>
      <c r="H37" s="68"/>
      <c r="I37" s="68"/>
      <c r="J37" s="68"/>
      <c r="K37" s="448"/>
      <c r="L37" s="446"/>
      <c r="M37" s="446"/>
      <c r="N37" s="446"/>
      <c r="O37" s="446"/>
      <c r="P37" s="446"/>
      <c r="Q37" s="447"/>
      <c r="R37" s="446"/>
      <c r="S37" s="446"/>
      <c r="T37" s="446"/>
      <c r="U37" s="446"/>
      <c r="V37" s="446"/>
      <c r="W37" s="446"/>
      <c r="X37" s="446"/>
      <c r="Y37" s="446"/>
      <c r="Z37" s="447"/>
    </row>
    <row r="38" spans="1:26" x14ac:dyDescent="0.25">
      <c r="A38" s="68"/>
      <c r="B38" s="108" t="s">
        <v>295</v>
      </c>
      <c r="C38" s="108" t="s">
        <v>296</v>
      </c>
      <c r="D38" s="68"/>
      <c r="E38" s="68"/>
      <c r="F38" s="68"/>
      <c r="G38" s="68"/>
      <c r="H38" s="68"/>
      <c r="I38" s="68"/>
      <c r="J38" s="68"/>
      <c r="K38" s="449" t="s">
        <v>267</v>
      </c>
      <c r="L38" s="450" t="s">
        <v>268</v>
      </c>
      <c r="M38" s="450" t="s">
        <v>269</v>
      </c>
      <c r="N38" s="450" t="s">
        <v>270</v>
      </c>
      <c r="O38" s="450" t="s">
        <v>271</v>
      </c>
      <c r="P38" s="450" t="s">
        <v>272</v>
      </c>
      <c r="Q38" s="447"/>
      <c r="R38" s="457" t="s">
        <v>279</v>
      </c>
      <c r="S38" s="457" t="s">
        <v>280</v>
      </c>
      <c r="T38" s="457" t="s">
        <v>281</v>
      </c>
      <c r="U38" s="457" t="s">
        <v>282</v>
      </c>
      <c r="V38" s="457" t="s">
        <v>283</v>
      </c>
      <c r="W38" s="457" t="s">
        <v>284</v>
      </c>
      <c r="X38" s="457" t="s">
        <v>285</v>
      </c>
      <c r="Y38" s="457" t="s">
        <v>286</v>
      </c>
      <c r="Z38" s="458" t="s">
        <v>287</v>
      </c>
    </row>
    <row r="39" spans="1:26" x14ac:dyDescent="0.25">
      <c r="A39" s="68"/>
      <c r="B39" s="109">
        <v>4.625</v>
      </c>
      <c r="C39" s="109">
        <v>0.442</v>
      </c>
      <c r="D39" s="68"/>
      <c r="E39" s="68"/>
      <c r="F39" s="68"/>
      <c r="G39" s="68"/>
      <c r="H39" s="68"/>
      <c r="I39" s="68"/>
      <c r="J39" s="68"/>
      <c r="K39" s="451">
        <v>6</v>
      </c>
      <c r="L39" s="452">
        <v>52</v>
      </c>
      <c r="M39" s="452">
        <v>2</v>
      </c>
      <c r="N39" s="452">
        <v>0</v>
      </c>
      <c r="O39" s="453" t="str">
        <f>INT(P42)&amp;"' "&amp;TEXT(12*(P42-INT(P42)),"# #/#")&amp;CHAR(34)</f>
        <v>52' 7"</v>
      </c>
      <c r="P39" s="453">
        <f>N42/48</f>
        <v>12</v>
      </c>
      <c r="Q39" s="447"/>
      <c r="R39" s="457">
        <v>4</v>
      </c>
      <c r="S39" s="457">
        <v>31</v>
      </c>
      <c r="T39" s="457">
        <v>22</v>
      </c>
      <c r="U39" s="457">
        <v>19</v>
      </c>
      <c r="V39" s="457">
        <v>10</v>
      </c>
      <c r="W39" s="457">
        <v>28</v>
      </c>
      <c r="X39" s="457"/>
      <c r="Y39" s="457">
        <v>16</v>
      </c>
      <c r="Z39" s="458"/>
    </row>
    <row r="40" spans="1:26" x14ac:dyDescent="0.25">
      <c r="A40" s="68"/>
      <c r="B40" s="111"/>
      <c r="C40" s="111"/>
      <c r="D40" s="68"/>
      <c r="E40" s="68"/>
      <c r="F40" s="68"/>
      <c r="G40" s="68"/>
      <c r="H40" s="68"/>
      <c r="I40" s="68"/>
      <c r="J40" s="68"/>
      <c r="K40" s="448"/>
      <c r="L40" s="446"/>
      <c r="M40" s="446"/>
      <c r="N40" s="446"/>
      <c r="O40" s="446"/>
      <c r="P40" s="446"/>
      <c r="Q40" s="447"/>
      <c r="R40" s="457">
        <v>6</v>
      </c>
      <c r="S40" s="457">
        <v>33</v>
      </c>
      <c r="T40" s="457">
        <v>22</v>
      </c>
      <c r="U40" s="457">
        <v>21</v>
      </c>
      <c r="V40" s="457">
        <v>10</v>
      </c>
      <c r="W40" s="457">
        <v>28</v>
      </c>
      <c r="X40" s="457"/>
      <c r="Y40" s="457">
        <v>16</v>
      </c>
      <c r="Z40" s="458"/>
    </row>
    <row r="41" spans="1:26" x14ac:dyDescent="0.25">
      <c r="A41" s="68"/>
      <c r="B41" s="108" t="s">
        <v>297</v>
      </c>
      <c r="C41" s="111"/>
      <c r="D41" s="68"/>
      <c r="E41" s="68"/>
      <c r="F41" s="68"/>
      <c r="G41" s="68"/>
      <c r="H41" s="68"/>
      <c r="I41" s="68"/>
      <c r="J41" s="68"/>
      <c r="K41" s="448" t="s">
        <v>273</v>
      </c>
      <c r="L41" s="446" t="s">
        <v>274</v>
      </c>
      <c r="M41" s="446" t="s">
        <v>275</v>
      </c>
      <c r="N41" s="446" t="s">
        <v>276</v>
      </c>
      <c r="O41" s="446" t="s">
        <v>277</v>
      </c>
      <c r="P41" s="446" t="s">
        <v>278</v>
      </c>
      <c r="Q41" s="447"/>
      <c r="R41" s="457">
        <v>8</v>
      </c>
      <c r="S41" s="457">
        <v>35</v>
      </c>
      <c r="T41" s="457">
        <v>22</v>
      </c>
      <c r="U41" s="457">
        <v>23</v>
      </c>
      <c r="V41" s="457">
        <v>10</v>
      </c>
      <c r="W41" s="457">
        <v>28</v>
      </c>
      <c r="X41" s="457"/>
      <c r="Y41" s="457">
        <v>16</v>
      </c>
      <c r="Z41" s="458"/>
    </row>
    <row r="42" spans="1:26" x14ac:dyDescent="0.25">
      <c r="A42" s="68"/>
      <c r="B42" s="108">
        <f>B39^2/(4*C39)</f>
        <v>12.09876979638009</v>
      </c>
      <c r="C42" s="111"/>
      <c r="D42" s="68"/>
      <c r="E42" s="68"/>
      <c r="F42" s="68"/>
      <c r="G42" s="68"/>
      <c r="H42" s="68"/>
      <c r="I42" s="68"/>
      <c r="J42" s="68"/>
      <c r="K42" s="448">
        <f>(L39*12)</f>
        <v>624</v>
      </c>
      <c r="L42" s="446">
        <f>M39/2</f>
        <v>1</v>
      </c>
      <c r="M42" s="446">
        <f>(VLOOKUP(K39,Table14[],2,FALSE)+VLOOKUP(K39,Table14[],3,FALSE))*L42</f>
        <v>55</v>
      </c>
      <c r="N42" s="446">
        <f>MROUND(K42-M42,48)</f>
        <v>576</v>
      </c>
      <c r="O42" s="446">
        <f>(N42+M42)</f>
        <v>631</v>
      </c>
      <c r="P42" s="446">
        <f>O42/12</f>
        <v>52.583333333333336</v>
      </c>
      <c r="Q42" s="447"/>
      <c r="R42" s="457">
        <v>10</v>
      </c>
      <c r="S42" s="457">
        <v>37</v>
      </c>
      <c r="T42" s="457">
        <v>22</v>
      </c>
      <c r="U42" s="457">
        <v>25</v>
      </c>
      <c r="V42" s="457">
        <v>10</v>
      </c>
      <c r="W42" s="457"/>
      <c r="X42" s="457"/>
      <c r="Y42" s="457"/>
      <c r="Z42" s="458"/>
    </row>
    <row r="43" spans="1:26" x14ac:dyDescent="0.25">
      <c r="A43" s="68"/>
      <c r="B43" s="108" t="s">
        <v>298</v>
      </c>
      <c r="C43" s="111"/>
      <c r="D43" s="68"/>
      <c r="E43" s="68"/>
      <c r="F43" s="68"/>
      <c r="G43" s="68"/>
      <c r="H43" s="68"/>
      <c r="I43" s="68"/>
      <c r="J43" s="68"/>
      <c r="K43" s="448"/>
      <c r="L43" s="446"/>
      <c r="M43" s="446"/>
      <c r="N43" s="446"/>
      <c r="O43" s="446"/>
      <c r="P43" s="446"/>
      <c r="Q43" s="447"/>
      <c r="R43" s="457">
        <v>12</v>
      </c>
      <c r="S43" s="457">
        <v>39</v>
      </c>
      <c r="T43" s="457">
        <v>22</v>
      </c>
      <c r="U43" s="457">
        <v>27</v>
      </c>
      <c r="V43" s="457">
        <v>10</v>
      </c>
      <c r="W43" s="457"/>
      <c r="X43" s="457"/>
      <c r="Y43" s="457"/>
      <c r="Z43" s="458"/>
    </row>
    <row r="44" spans="1:26" ht="15.75" thickBot="1" x14ac:dyDescent="0.3">
      <c r="A44"/>
      <c r="B44" s="108">
        <f>B42+C39</f>
        <v>12.54076979638009</v>
      </c>
      <c r="C44" s="111"/>
      <c r="D44"/>
      <c r="E44"/>
      <c r="F44"/>
      <c r="G44"/>
      <c r="H44"/>
      <c r="I44"/>
      <c r="J44"/>
      <c r="K44" s="454"/>
      <c r="L44" s="455"/>
      <c r="M44" s="455"/>
      <c r="N44" s="455"/>
      <c r="O44" s="455"/>
      <c r="P44" s="455"/>
      <c r="Q44" s="456"/>
      <c r="R44" s="459"/>
      <c r="S44" s="459"/>
      <c r="T44" s="459"/>
      <c r="U44" s="459"/>
      <c r="V44" s="459"/>
      <c r="W44" s="459"/>
      <c r="X44" s="459"/>
      <c r="Y44" s="459"/>
      <c r="Z44" s="460"/>
    </row>
    <row r="45" spans="1:26" x14ac:dyDescent="0.25">
      <c r="A45"/>
      <c r="B45" s="108" t="s">
        <v>299</v>
      </c>
      <c r="C45" s="111"/>
      <c r="D45"/>
      <c r="E45"/>
      <c r="F45"/>
      <c r="G45"/>
      <c r="H45"/>
      <c r="I45"/>
      <c r="J45"/>
      <c r="K45"/>
      <c r="L45"/>
      <c r="M45"/>
      <c r="N45"/>
      <c r="O45"/>
      <c r="P45"/>
      <c r="Q45"/>
      <c r="R45" s="303"/>
      <c r="S45" s="303"/>
      <c r="T45" s="303"/>
      <c r="U45" s="303"/>
      <c r="V45" s="303"/>
      <c r="W45" s="303"/>
      <c r="X45" s="303"/>
      <c r="Y45" s="303"/>
      <c r="Z45" s="303"/>
    </row>
    <row r="46" spans="1:26" x14ac:dyDescent="0.25">
      <c r="A46"/>
      <c r="B46" s="108">
        <f>(B42+C39)/2</f>
        <v>6.270384898190045</v>
      </c>
      <c r="C46" s="111"/>
      <c r="D46"/>
      <c r="E46"/>
      <c r="F46"/>
      <c r="G46"/>
      <c r="H46"/>
      <c r="I46"/>
      <c r="J46"/>
      <c r="K46"/>
      <c r="L46"/>
      <c r="M46"/>
      <c r="N46"/>
      <c r="O46"/>
      <c r="P46"/>
      <c r="Q46"/>
    </row>
    <row r="47" spans="1:26" x14ac:dyDescent="0.25">
      <c r="A47"/>
      <c r="B47" s="108" t="s">
        <v>300</v>
      </c>
      <c r="C47" s="111"/>
      <c r="D47"/>
      <c r="E47"/>
      <c r="F47"/>
      <c r="G47"/>
      <c r="H47"/>
      <c r="I47"/>
      <c r="J47"/>
      <c r="K47"/>
      <c r="L47"/>
      <c r="M47"/>
      <c r="N47"/>
      <c r="O47"/>
      <c r="P47"/>
      <c r="Q47"/>
    </row>
    <row r="48" spans="1:26" x14ac:dyDescent="0.25">
      <c r="A48"/>
      <c r="B48" s="108">
        <f>B46-C39</f>
        <v>5.8283848981900448</v>
      </c>
      <c r="C48" s="111"/>
      <c r="D48"/>
      <c r="E48"/>
      <c r="F48"/>
      <c r="G48"/>
      <c r="H48"/>
      <c r="I48"/>
      <c r="J48"/>
      <c r="K48"/>
      <c r="L48"/>
      <c r="M48"/>
      <c r="N48"/>
      <c r="O48"/>
      <c r="P48"/>
      <c r="Q48"/>
    </row>
    <row r="49" spans="1:17" x14ac:dyDescent="0.25">
      <c r="A49"/>
      <c r="B49" s="108" t="s">
        <v>301</v>
      </c>
      <c r="C49" s="111"/>
      <c r="D49"/>
      <c r="E49"/>
      <c r="F49"/>
      <c r="G49"/>
      <c r="H49"/>
      <c r="I49"/>
      <c r="J49"/>
      <c r="K49"/>
      <c r="L49" s="112" t="s">
        <v>304</v>
      </c>
      <c r="M49" s="112" t="s">
        <v>178</v>
      </c>
      <c r="N49" s="112"/>
      <c r="O49"/>
      <c r="P49"/>
      <c r="Q49"/>
    </row>
    <row r="50" spans="1:17" x14ac:dyDescent="0.25">
      <c r="A50"/>
      <c r="B50" s="110">
        <f>(ATAN((B39/2)/B48))*180/PI()</f>
        <v>21.641452738229344</v>
      </c>
      <c r="C50" s="111"/>
      <c r="D50"/>
      <c r="E50" t="s">
        <v>520</v>
      </c>
      <c r="F50"/>
      <c r="G50"/>
      <c r="H50"/>
      <c r="I50"/>
      <c r="J50"/>
      <c r="K50"/>
      <c r="L50" s="112"/>
      <c r="M50" s="112"/>
      <c r="N50" s="112" t="e">
        <f>L50/M50</f>
        <v>#DIV/0!</v>
      </c>
      <c r="O50"/>
      <c r="P50"/>
      <c r="Q50"/>
    </row>
    <row r="51" spans="1:17" x14ac:dyDescent="0.25">
      <c r="B51" s="108" t="s">
        <v>302</v>
      </c>
      <c r="C51" s="111"/>
      <c r="E51"/>
      <c r="F51"/>
      <c r="G51"/>
      <c r="H51"/>
      <c r="I51"/>
      <c r="J51"/>
      <c r="L51" s="113" t="s">
        <v>303</v>
      </c>
      <c r="M51" s="112" t="s">
        <v>178</v>
      </c>
      <c r="N51" s="113"/>
    </row>
    <row r="52" spans="1:17" x14ac:dyDescent="0.25">
      <c r="B52" s="110">
        <f>B50*2</f>
        <v>43.282905476458687</v>
      </c>
      <c r="C52" s="111"/>
      <c r="E52" s="108" t="s">
        <v>483</v>
      </c>
      <c r="F52" s="108" t="s">
        <v>484</v>
      </c>
      <c r="G52" s="108" t="s">
        <v>485</v>
      </c>
      <c r="H52" s="108" t="s">
        <v>126</v>
      </c>
      <c r="I52" s="108" t="s">
        <v>486</v>
      </c>
      <c r="J52" s="108" t="s">
        <v>487</v>
      </c>
      <c r="L52" s="113"/>
      <c r="M52" s="113"/>
      <c r="N52" s="113"/>
    </row>
    <row r="53" spans="1:17" x14ac:dyDescent="0.25">
      <c r="B53" s="201" t="s">
        <v>493</v>
      </c>
      <c r="C53" s="202"/>
      <c r="E53" s="199">
        <v>8</v>
      </c>
      <c r="F53" s="196">
        <v>16</v>
      </c>
      <c r="G53" s="200">
        <v>10</v>
      </c>
      <c r="H53" s="197">
        <f>((F53/12)*180)/(PI()*G53)</f>
        <v>7.6394372684109761</v>
      </c>
      <c r="I53" s="110">
        <f>G53-((E53+5)/12)</f>
        <v>8.9166666666666661</v>
      </c>
      <c r="J53" s="198">
        <f>(H53*((PI()/180)*I53))*12</f>
        <v>14.266666666666664</v>
      </c>
    </row>
    <row r="54" spans="1:17" x14ac:dyDescent="0.25">
      <c r="B54" s="203">
        <f>(B52/180)*PI()*B46</f>
        <v>4.7368319125042184</v>
      </c>
      <c r="C54" s="202"/>
    </row>
    <row r="57" spans="1:17" ht="15.75" thickBot="1" x14ac:dyDescent="0.3"/>
    <row r="58" spans="1:17" ht="19.5" thickBot="1" x14ac:dyDescent="0.35">
      <c r="B58" s="808" t="s">
        <v>465</v>
      </c>
      <c r="C58" s="809"/>
      <c r="D58" s="810"/>
      <c r="E58" s="38"/>
      <c r="F58" s="811" t="s">
        <v>466</v>
      </c>
      <c r="G58" s="812"/>
      <c r="H58" s="805" t="s">
        <v>467</v>
      </c>
      <c r="I58" s="806"/>
      <c r="J58" s="806"/>
      <c r="K58" s="806"/>
      <c r="L58" s="806"/>
      <c r="M58" s="806"/>
      <c r="N58" s="806"/>
      <c r="O58" s="806"/>
      <c r="P58" s="806"/>
      <c r="Q58" s="807"/>
    </row>
    <row r="59" spans="1:17" x14ac:dyDescent="0.25">
      <c r="B59" s="153" t="s">
        <v>304</v>
      </c>
      <c r="C59" s="154" t="s">
        <v>178</v>
      </c>
      <c r="D59" s="155"/>
      <c r="F59" s="791" t="s">
        <v>468</v>
      </c>
      <c r="G59" s="793" t="s">
        <v>469</v>
      </c>
      <c r="H59" s="795" t="s">
        <v>470</v>
      </c>
      <c r="I59" s="796"/>
      <c r="J59" s="796"/>
      <c r="K59" s="796"/>
      <c r="L59" s="796"/>
      <c r="M59" s="796"/>
      <c r="N59" s="796"/>
      <c r="O59" s="796"/>
      <c r="P59" s="796"/>
      <c r="Q59" s="797"/>
    </row>
    <row r="60" spans="1:17" ht="15.75" thickBot="1" x14ac:dyDescent="0.3">
      <c r="B60" s="156">
        <v>40</v>
      </c>
      <c r="C60" s="157">
        <v>48</v>
      </c>
      <c r="D60" s="158">
        <f>B60/(C60/12)</f>
        <v>10</v>
      </c>
      <c r="F60" s="792"/>
      <c r="G60" s="794"/>
      <c r="H60" s="159">
        <v>10</v>
      </c>
      <c r="I60" s="159">
        <v>12</v>
      </c>
      <c r="J60" s="159">
        <v>14</v>
      </c>
      <c r="K60" s="159">
        <v>16</v>
      </c>
      <c r="L60" s="159">
        <v>18</v>
      </c>
      <c r="M60" s="159">
        <v>20</v>
      </c>
      <c r="N60" s="159">
        <v>22</v>
      </c>
      <c r="O60" s="159">
        <v>24</v>
      </c>
      <c r="P60" s="159">
        <v>26</v>
      </c>
      <c r="Q60" s="160">
        <v>28</v>
      </c>
    </row>
    <row r="61" spans="1:17" x14ac:dyDescent="0.25">
      <c r="B61" s="161" t="s">
        <v>303</v>
      </c>
      <c r="C61" s="162" t="s">
        <v>178</v>
      </c>
      <c r="D61" s="163"/>
      <c r="F61" s="164">
        <v>10</v>
      </c>
      <c r="G61" s="165">
        <v>40</v>
      </c>
      <c r="H61" s="165">
        <v>48</v>
      </c>
      <c r="I61" s="165">
        <v>48</v>
      </c>
      <c r="J61" s="165">
        <v>48</v>
      </c>
      <c r="K61" s="165">
        <v>48</v>
      </c>
      <c r="L61" s="166">
        <v>48</v>
      </c>
      <c r="M61" s="166">
        <v>47</v>
      </c>
      <c r="N61" s="166">
        <v>42</v>
      </c>
      <c r="O61" s="166">
        <v>39</v>
      </c>
      <c r="P61" s="166">
        <v>36</v>
      </c>
      <c r="Q61" s="167">
        <v>33</v>
      </c>
    </row>
    <row r="62" spans="1:17" x14ac:dyDescent="0.25">
      <c r="B62" s="156">
        <v>40</v>
      </c>
      <c r="C62" s="168">
        <v>48</v>
      </c>
      <c r="D62" s="158">
        <f>B62/(C62/12)</f>
        <v>10</v>
      </c>
      <c r="F62" s="169">
        <v>15</v>
      </c>
      <c r="G62" s="170">
        <v>40</v>
      </c>
      <c r="H62" s="170">
        <v>48</v>
      </c>
      <c r="I62" s="170">
        <v>48</v>
      </c>
      <c r="J62" s="170">
        <v>48</v>
      </c>
      <c r="K62" s="170">
        <v>48</v>
      </c>
      <c r="L62" s="171">
        <v>47</v>
      </c>
      <c r="M62" s="171">
        <v>42</v>
      </c>
      <c r="N62" s="171">
        <v>38</v>
      </c>
      <c r="O62" s="171">
        <v>35</v>
      </c>
      <c r="P62" s="171">
        <v>33</v>
      </c>
      <c r="Q62" s="172">
        <v>30</v>
      </c>
    </row>
    <row r="63" spans="1:17" ht="15.75" thickBot="1" x14ac:dyDescent="0.3">
      <c r="B63" s="161" t="s">
        <v>41</v>
      </c>
      <c r="C63" s="173"/>
      <c r="D63" s="174">
        <f>C63</f>
        <v>0</v>
      </c>
      <c r="F63" s="175">
        <v>20</v>
      </c>
      <c r="G63" s="176">
        <v>40</v>
      </c>
      <c r="H63" s="176">
        <v>48</v>
      </c>
      <c r="I63" s="176">
        <v>48</v>
      </c>
      <c r="J63" s="176">
        <v>48</v>
      </c>
      <c r="K63" s="176">
        <v>48</v>
      </c>
      <c r="L63" s="177">
        <v>43</v>
      </c>
      <c r="M63" s="177">
        <v>39</v>
      </c>
      <c r="N63" s="177">
        <v>35</v>
      </c>
      <c r="O63" s="177">
        <v>32</v>
      </c>
      <c r="P63" s="177">
        <v>30</v>
      </c>
      <c r="Q63" s="178">
        <v>28</v>
      </c>
    </row>
    <row r="64" spans="1:17" ht="15.75" thickBot="1" x14ac:dyDescent="0.3">
      <c r="B64" s="179"/>
      <c r="C64" s="180" t="s">
        <v>28</v>
      </c>
      <c r="D64" s="181">
        <f>SUM(D60:D63)</f>
        <v>20</v>
      </c>
      <c r="F64" s="182">
        <v>10</v>
      </c>
      <c r="G64" s="183">
        <v>60</v>
      </c>
      <c r="H64" s="184">
        <v>48</v>
      </c>
      <c r="I64" s="184">
        <v>48</v>
      </c>
      <c r="J64" s="184">
        <v>48</v>
      </c>
      <c r="K64" s="184">
        <v>42</v>
      </c>
      <c r="L64" s="185">
        <v>37</v>
      </c>
      <c r="M64" s="185">
        <v>33</v>
      </c>
      <c r="N64" s="185">
        <v>30</v>
      </c>
      <c r="O64" s="185">
        <v>28</v>
      </c>
      <c r="P64" s="185">
        <v>36</v>
      </c>
      <c r="Q64" s="186">
        <v>24</v>
      </c>
    </row>
    <row r="65" spans="2:17" x14ac:dyDescent="0.25">
      <c r="F65" s="187">
        <v>20</v>
      </c>
      <c r="G65" s="188">
        <v>60</v>
      </c>
      <c r="H65" s="188">
        <v>48</v>
      </c>
      <c r="I65" s="188">
        <v>48</v>
      </c>
      <c r="J65" s="188">
        <v>42</v>
      </c>
      <c r="K65" s="188">
        <v>36</v>
      </c>
      <c r="L65" s="189">
        <v>32</v>
      </c>
      <c r="M65" s="189">
        <v>29</v>
      </c>
      <c r="N65" s="189">
        <v>26</v>
      </c>
      <c r="O65" s="189">
        <v>24</v>
      </c>
      <c r="P65" s="189">
        <v>22</v>
      </c>
      <c r="Q65" s="190">
        <v>21</v>
      </c>
    </row>
    <row r="66" spans="2:17" x14ac:dyDescent="0.25">
      <c r="F66" s="169">
        <v>30</v>
      </c>
      <c r="G66" s="170">
        <v>60</v>
      </c>
      <c r="H66" s="170">
        <v>48</v>
      </c>
      <c r="I66" s="170">
        <v>43</v>
      </c>
      <c r="J66" s="170">
        <v>37</v>
      </c>
      <c r="K66" s="170">
        <v>32</v>
      </c>
      <c r="L66" s="171">
        <v>29</v>
      </c>
      <c r="M66" s="171">
        <v>26</v>
      </c>
      <c r="N66" s="171">
        <v>24</v>
      </c>
      <c r="O66" s="171">
        <v>22</v>
      </c>
      <c r="P66" s="171">
        <v>20</v>
      </c>
      <c r="Q66" s="172">
        <v>18</v>
      </c>
    </row>
    <row r="67" spans="2:17" ht="15.75" thickBot="1" x14ac:dyDescent="0.3">
      <c r="F67" s="175">
        <v>40</v>
      </c>
      <c r="G67" s="176">
        <v>60</v>
      </c>
      <c r="H67" s="176">
        <v>47</v>
      </c>
      <c r="I67" s="176">
        <v>39</v>
      </c>
      <c r="J67" s="176">
        <v>33</v>
      </c>
      <c r="K67" s="176">
        <v>29</v>
      </c>
      <c r="L67" s="177">
        <v>26</v>
      </c>
      <c r="M67" s="177">
        <v>23</v>
      </c>
      <c r="N67" s="177">
        <v>21</v>
      </c>
      <c r="O67" s="177">
        <v>19</v>
      </c>
      <c r="P67" s="177">
        <v>18</v>
      </c>
      <c r="Q67" s="178">
        <v>17</v>
      </c>
    </row>
    <row r="68" spans="2:17" x14ac:dyDescent="0.25">
      <c r="F68" s="191">
        <v>10</v>
      </c>
      <c r="G68" s="184">
        <v>100</v>
      </c>
      <c r="H68" s="184">
        <v>42</v>
      </c>
      <c r="I68" s="184">
        <v>35</v>
      </c>
      <c r="J68" s="184">
        <v>30</v>
      </c>
      <c r="K68" s="184">
        <v>26</v>
      </c>
      <c r="L68" s="185">
        <v>24</v>
      </c>
      <c r="M68" s="185">
        <v>21</v>
      </c>
      <c r="N68" s="185">
        <v>19</v>
      </c>
      <c r="O68" s="185">
        <v>18</v>
      </c>
      <c r="P68" s="185">
        <v>16</v>
      </c>
      <c r="Q68" s="186">
        <v>15</v>
      </c>
    </row>
    <row r="69" spans="2:17" ht="15.75" thickBot="1" x14ac:dyDescent="0.3">
      <c r="B69" s="192"/>
      <c r="C69" s="192"/>
      <c r="D69" s="192"/>
      <c r="E69" s="192"/>
      <c r="F69" s="175">
        <v>20</v>
      </c>
      <c r="G69" s="176">
        <v>100</v>
      </c>
      <c r="H69" s="176">
        <v>39</v>
      </c>
      <c r="I69" s="176">
        <v>32</v>
      </c>
      <c r="J69" s="176">
        <v>28</v>
      </c>
      <c r="K69" s="176">
        <v>24</v>
      </c>
      <c r="L69" s="177">
        <v>22</v>
      </c>
      <c r="M69" s="177">
        <v>19</v>
      </c>
      <c r="N69" s="177">
        <v>18</v>
      </c>
      <c r="O69" s="177">
        <v>16</v>
      </c>
      <c r="P69" s="177">
        <v>15</v>
      </c>
      <c r="Q69" s="178">
        <v>14</v>
      </c>
    </row>
    <row r="70" spans="2:17" ht="15.75" thickBot="1" x14ac:dyDescent="0.3">
      <c r="F70" s="193"/>
      <c r="G70" s="193"/>
      <c r="H70" s="193"/>
      <c r="I70" s="193"/>
      <c r="J70" s="193"/>
      <c r="K70" s="193"/>
    </row>
    <row r="71" spans="2:17" x14ac:dyDescent="0.25">
      <c r="F71" s="194" t="s">
        <v>466</v>
      </c>
      <c r="G71" s="195"/>
      <c r="H71" s="805" t="s">
        <v>471</v>
      </c>
      <c r="I71" s="806"/>
      <c r="J71" s="806"/>
      <c r="K71" s="806"/>
      <c r="L71" s="806"/>
      <c r="M71" s="806"/>
      <c r="N71" s="806"/>
      <c r="O71" s="806"/>
      <c r="P71" s="806"/>
      <c r="Q71" s="807"/>
    </row>
    <row r="72" spans="2:17" x14ac:dyDescent="0.25">
      <c r="F72" s="791" t="s">
        <v>468</v>
      </c>
      <c r="G72" s="793" t="s">
        <v>469</v>
      </c>
      <c r="H72" s="795" t="s">
        <v>470</v>
      </c>
      <c r="I72" s="796"/>
      <c r="J72" s="796"/>
      <c r="K72" s="796"/>
      <c r="L72" s="796"/>
      <c r="M72" s="796"/>
      <c r="N72" s="796"/>
      <c r="O72" s="796"/>
      <c r="P72" s="796"/>
      <c r="Q72" s="797"/>
    </row>
    <row r="73" spans="2:17" ht="15.75" thickBot="1" x14ac:dyDescent="0.3">
      <c r="F73" s="792"/>
      <c r="G73" s="794"/>
      <c r="H73" s="159">
        <v>10</v>
      </c>
      <c r="I73" s="159">
        <v>12</v>
      </c>
      <c r="J73" s="159">
        <v>14</v>
      </c>
      <c r="K73" s="159">
        <v>16</v>
      </c>
      <c r="L73" s="159">
        <v>18</v>
      </c>
      <c r="M73" s="159">
        <v>20</v>
      </c>
      <c r="N73" s="159">
        <v>22</v>
      </c>
      <c r="O73" s="159">
        <v>24</v>
      </c>
      <c r="P73" s="159">
        <v>26</v>
      </c>
      <c r="Q73" s="160">
        <v>28</v>
      </c>
    </row>
    <row r="74" spans="2:17" x14ac:dyDescent="0.25">
      <c r="F74" s="164">
        <v>10</v>
      </c>
      <c r="G74" s="165">
        <v>40</v>
      </c>
      <c r="H74" s="165">
        <v>48</v>
      </c>
      <c r="I74" s="165">
        <v>48</v>
      </c>
      <c r="J74" s="165">
        <v>48</v>
      </c>
      <c r="K74" s="165">
        <v>48</v>
      </c>
      <c r="L74" s="166">
        <v>44</v>
      </c>
      <c r="M74" s="166">
        <v>40</v>
      </c>
      <c r="N74" s="166">
        <v>36</v>
      </c>
      <c r="O74" s="166">
        <v>33</v>
      </c>
      <c r="P74" s="166">
        <v>31</v>
      </c>
      <c r="Q74" s="167">
        <v>28</v>
      </c>
    </row>
    <row r="75" spans="2:17" x14ac:dyDescent="0.25">
      <c r="F75" s="169">
        <v>15</v>
      </c>
      <c r="G75" s="170">
        <v>40</v>
      </c>
      <c r="H75" s="170">
        <v>48</v>
      </c>
      <c r="I75" s="170">
        <v>48</v>
      </c>
      <c r="J75" s="170">
        <v>48</v>
      </c>
      <c r="K75" s="170">
        <v>45</v>
      </c>
      <c r="L75" s="171">
        <v>40</v>
      </c>
      <c r="M75" s="171">
        <v>36</v>
      </c>
      <c r="N75" s="171">
        <v>33</v>
      </c>
      <c r="O75" s="171">
        <v>30</v>
      </c>
      <c r="P75" s="171">
        <v>28</v>
      </c>
      <c r="Q75" s="172">
        <v>26</v>
      </c>
    </row>
    <row r="76" spans="2:17" ht="15.75" thickBot="1" x14ac:dyDescent="0.3">
      <c r="F76" s="175">
        <v>20</v>
      </c>
      <c r="G76" s="176">
        <v>40</v>
      </c>
      <c r="H76" s="176">
        <v>48</v>
      </c>
      <c r="I76" s="176">
        <v>48</v>
      </c>
      <c r="J76" s="176">
        <v>47</v>
      </c>
      <c r="K76" s="176">
        <v>42</v>
      </c>
      <c r="L76" s="177">
        <v>37</v>
      </c>
      <c r="M76" s="177">
        <v>33</v>
      </c>
      <c r="N76" s="177">
        <v>30</v>
      </c>
      <c r="O76" s="177">
        <v>28</v>
      </c>
      <c r="P76" s="177">
        <v>26</v>
      </c>
      <c r="Q76" s="178">
        <v>24</v>
      </c>
    </row>
    <row r="77" spans="2:17" x14ac:dyDescent="0.25">
      <c r="F77" s="182">
        <v>10</v>
      </c>
      <c r="G77" s="183">
        <v>60</v>
      </c>
      <c r="H77" s="184">
        <v>48</v>
      </c>
      <c r="I77" s="184">
        <v>47</v>
      </c>
      <c r="J77" s="184">
        <v>41</v>
      </c>
      <c r="K77" s="184">
        <v>36</v>
      </c>
      <c r="L77" s="185">
        <v>32</v>
      </c>
      <c r="M77" s="185">
        <v>28</v>
      </c>
      <c r="N77" s="185">
        <v>26</v>
      </c>
      <c r="O77" s="185">
        <v>24</v>
      </c>
      <c r="P77" s="185">
        <v>22</v>
      </c>
      <c r="Q77" s="186">
        <v>20</v>
      </c>
    </row>
    <row r="78" spans="2:17" x14ac:dyDescent="0.25">
      <c r="F78" s="187">
        <v>20</v>
      </c>
      <c r="G78" s="188">
        <v>60</v>
      </c>
      <c r="H78" s="188">
        <v>48</v>
      </c>
      <c r="I78" s="188">
        <v>42</v>
      </c>
      <c r="J78" s="188">
        <v>36</v>
      </c>
      <c r="K78" s="188">
        <v>31</v>
      </c>
      <c r="L78" s="189">
        <v>28</v>
      </c>
      <c r="M78" s="189">
        <v>25</v>
      </c>
      <c r="N78" s="189">
        <v>23</v>
      </c>
      <c r="O78" s="189">
        <v>21</v>
      </c>
      <c r="P78" s="189">
        <v>19</v>
      </c>
      <c r="Q78" s="190">
        <v>18</v>
      </c>
    </row>
    <row r="79" spans="2:17" x14ac:dyDescent="0.25">
      <c r="F79" s="169">
        <v>30</v>
      </c>
      <c r="G79" s="170">
        <v>60</v>
      </c>
      <c r="H79" s="170">
        <v>44</v>
      </c>
      <c r="I79" s="170">
        <v>37</v>
      </c>
      <c r="J79" s="170">
        <v>32</v>
      </c>
      <c r="K79" s="170">
        <v>28</v>
      </c>
      <c r="L79" s="171">
        <v>25</v>
      </c>
      <c r="M79" s="171">
        <v>22</v>
      </c>
      <c r="N79" s="171">
        <v>20</v>
      </c>
      <c r="O79" s="171">
        <v>18</v>
      </c>
      <c r="P79" s="171">
        <v>17</v>
      </c>
      <c r="Q79" s="172">
        <v>16</v>
      </c>
    </row>
    <row r="80" spans="2:17" ht="15.75" thickBot="1" x14ac:dyDescent="0.3">
      <c r="F80" s="175">
        <v>40</v>
      </c>
      <c r="G80" s="176">
        <v>60</v>
      </c>
      <c r="H80" s="176">
        <v>40</v>
      </c>
      <c r="I80" s="176">
        <v>33</v>
      </c>
      <c r="J80" s="176">
        <v>28</v>
      </c>
      <c r="K80" s="176">
        <v>25</v>
      </c>
      <c r="L80" s="177">
        <v>22</v>
      </c>
      <c r="M80" s="177">
        <v>20</v>
      </c>
      <c r="N80" s="177">
        <v>18</v>
      </c>
      <c r="O80" s="177">
        <v>17</v>
      </c>
      <c r="P80" s="177">
        <v>15</v>
      </c>
      <c r="Q80" s="178">
        <v>14</v>
      </c>
    </row>
    <row r="81" spans="2:17" x14ac:dyDescent="0.25">
      <c r="F81" s="191">
        <v>10</v>
      </c>
      <c r="G81" s="184">
        <v>100</v>
      </c>
      <c r="H81" s="184">
        <v>36</v>
      </c>
      <c r="I81" s="184">
        <v>30</v>
      </c>
      <c r="J81" s="184">
        <v>26</v>
      </c>
      <c r="K81" s="184">
        <v>23</v>
      </c>
      <c r="L81" s="185">
        <v>20</v>
      </c>
      <c r="M81" s="185">
        <v>18</v>
      </c>
      <c r="N81" s="185">
        <v>16</v>
      </c>
      <c r="O81" s="185">
        <v>15</v>
      </c>
      <c r="P81" s="185">
        <v>14</v>
      </c>
      <c r="Q81" s="186">
        <v>13</v>
      </c>
    </row>
    <row r="82" spans="2:17" ht="15.75" thickBot="1" x14ac:dyDescent="0.3">
      <c r="F82" s="175">
        <v>20</v>
      </c>
      <c r="G82" s="176">
        <v>100</v>
      </c>
      <c r="H82" s="176">
        <v>33</v>
      </c>
      <c r="I82" s="176">
        <v>28</v>
      </c>
      <c r="J82" s="176">
        <v>24</v>
      </c>
      <c r="K82" s="176">
        <v>21</v>
      </c>
      <c r="L82" s="177">
        <v>18</v>
      </c>
      <c r="M82" s="177">
        <v>17</v>
      </c>
      <c r="N82" s="177">
        <v>15</v>
      </c>
      <c r="O82" s="177">
        <v>14</v>
      </c>
      <c r="P82" s="177">
        <v>13</v>
      </c>
      <c r="Q82" s="178">
        <v>12</v>
      </c>
    </row>
    <row r="87" spans="2:17" x14ac:dyDescent="0.25">
      <c r="B87" s="790" t="s">
        <v>494</v>
      </c>
      <c r="C87" s="790"/>
      <c r="D87" s="790"/>
      <c r="E87" s="790"/>
      <c r="F87" s="790"/>
      <c r="G87" s="790"/>
    </row>
    <row r="88" spans="2:17" x14ac:dyDescent="0.25">
      <c r="B88" s="113"/>
      <c r="C88" s="113" t="s">
        <v>481</v>
      </c>
      <c r="D88" s="113" t="s">
        <v>510</v>
      </c>
      <c r="E88" s="113" t="s">
        <v>511</v>
      </c>
      <c r="F88" s="113" t="s">
        <v>28</v>
      </c>
      <c r="G88" s="204" t="s">
        <v>508</v>
      </c>
    </row>
    <row r="89" spans="2:17" x14ac:dyDescent="0.25">
      <c r="B89" s="113" t="s">
        <v>506</v>
      </c>
      <c r="C89" s="173">
        <v>4</v>
      </c>
      <c r="D89" s="173">
        <v>4</v>
      </c>
      <c r="E89" s="173">
        <v>4</v>
      </c>
      <c r="F89" s="205"/>
      <c r="G89" s="207"/>
    </row>
    <row r="90" spans="2:17" x14ac:dyDescent="0.25">
      <c r="B90" s="113" t="s">
        <v>501</v>
      </c>
      <c r="C90" s="173">
        <v>16</v>
      </c>
      <c r="D90" s="173">
        <v>22</v>
      </c>
      <c r="E90" s="173">
        <v>16</v>
      </c>
      <c r="F90" s="205"/>
      <c r="G90" s="207"/>
    </row>
    <row r="91" spans="2:17" x14ac:dyDescent="0.25">
      <c r="B91" s="113" t="s">
        <v>500</v>
      </c>
      <c r="C91" s="173">
        <v>22</v>
      </c>
      <c r="D91" s="205"/>
      <c r="E91" s="205"/>
      <c r="F91" s="205"/>
      <c r="G91" s="207"/>
    </row>
    <row r="92" spans="2:17" x14ac:dyDescent="0.25">
      <c r="B92" s="113" t="s">
        <v>499</v>
      </c>
      <c r="C92" s="205"/>
      <c r="D92" s="173">
        <v>16</v>
      </c>
      <c r="E92" s="173">
        <v>16</v>
      </c>
      <c r="F92" s="205"/>
      <c r="G92" s="207"/>
    </row>
    <row r="93" spans="2:17" x14ac:dyDescent="0.25">
      <c r="B93" s="113" t="s">
        <v>498</v>
      </c>
      <c r="C93" s="173">
        <v>24</v>
      </c>
      <c r="D93" s="173">
        <v>24</v>
      </c>
      <c r="E93" s="173">
        <v>24</v>
      </c>
      <c r="F93" s="205"/>
      <c r="G93" s="207"/>
      <c r="I93" s="211"/>
    </row>
    <row r="94" spans="2:17" x14ac:dyDescent="0.25">
      <c r="B94" s="113" t="s">
        <v>12</v>
      </c>
      <c r="C94" s="209">
        <f>C93*12/16</f>
        <v>18</v>
      </c>
      <c r="D94" s="209">
        <f>D93*12/16</f>
        <v>18</v>
      </c>
      <c r="E94" s="209">
        <f>E93*12/16</f>
        <v>18</v>
      </c>
      <c r="F94" s="205"/>
      <c r="G94" s="207"/>
    </row>
    <row r="95" spans="2:17" x14ac:dyDescent="0.25">
      <c r="B95" s="113" t="s">
        <v>512</v>
      </c>
      <c r="C95" s="173">
        <v>12</v>
      </c>
      <c r="D95" s="173">
        <v>12</v>
      </c>
      <c r="E95" s="173">
        <v>12</v>
      </c>
      <c r="F95" s="205"/>
      <c r="G95" s="207"/>
    </row>
    <row r="96" spans="2:17" x14ac:dyDescent="0.25">
      <c r="B96" s="113" t="s">
        <v>513</v>
      </c>
      <c r="C96" s="209" t="str">
        <f>"2nd Bridge"&amp;"-"&amp;C113&amp;";"&amp;"3rd Bridge"&amp;","&amp;IF(C115&gt;0,C115,"na")</f>
        <v>2nd Bridge-12;3rd Bridge,10</v>
      </c>
      <c r="D96" s="209" t="str">
        <f>"2nd Bridge"&amp;"-"&amp;D113&amp;";"&amp;"3rd Bridge"&amp;","&amp;IF(D115&gt;0,D115,"na")</f>
        <v>2nd Bridge-12;3rd Bridge,10</v>
      </c>
      <c r="E96" s="209" t="str">
        <f>"2nd Bridge"&amp;"-"&amp;E113&amp;";"&amp;"3rd Bridge"&amp;","&amp;IF(E115&gt;0,E115,"na")</f>
        <v>2nd Bridge-12;3rd Bridge,4</v>
      </c>
      <c r="F96" s="209"/>
      <c r="G96" s="210"/>
    </row>
    <row r="97" spans="2:7" x14ac:dyDescent="0.25">
      <c r="B97" s="204" t="s">
        <v>509</v>
      </c>
      <c r="C97" s="209">
        <f>ROUNDUP((C105)-(((C91*C89)/12)/4),0)/2</f>
        <v>35.5</v>
      </c>
      <c r="D97" s="209">
        <f>ROUNDUP((D105)-(((D92*D89)/12)/4),0)/2</f>
        <v>40</v>
      </c>
      <c r="E97" s="209">
        <f>ROUNDUP((E105)-(((E92*E89)/12)/4),0)/2</f>
        <v>31</v>
      </c>
      <c r="F97" s="209">
        <f>SUM(C97:E97)</f>
        <v>106.5</v>
      </c>
      <c r="G97" s="210">
        <f>ROUNDUP(F97/16,0)</f>
        <v>7</v>
      </c>
    </row>
    <row r="98" spans="2:7" x14ac:dyDescent="0.25">
      <c r="B98" s="204" t="s">
        <v>518</v>
      </c>
      <c r="C98" s="209">
        <f>C108</f>
        <v>216</v>
      </c>
      <c r="D98" s="209">
        <f>D108</f>
        <v>288</v>
      </c>
      <c r="E98" s="209">
        <f>E108</f>
        <v>288</v>
      </c>
      <c r="F98" s="209"/>
      <c r="G98" s="210"/>
    </row>
    <row r="99" spans="2:7" x14ac:dyDescent="0.25">
      <c r="B99" s="204" t="s">
        <v>519</v>
      </c>
      <c r="C99" s="209">
        <f>C108</f>
        <v>216</v>
      </c>
      <c r="D99" s="209">
        <f>D108</f>
        <v>288</v>
      </c>
      <c r="E99" s="209">
        <f>E108</f>
        <v>288</v>
      </c>
      <c r="F99" s="209"/>
      <c r="G99" s="210"/>
    </row>
    <row r="100" spans="2:7" x14ac:dyDescent="0.25">
      <c r="B100" s="204" t="s">
        <v>507</v>
      </c>
      <c r="C100" s="209"/>
      <c r="D100" s="209"/>
      <c r="E100" s="209"/>
      <c r="F100" s="209">
        <f>SUM(D98:E99)</f>
        <v>1152</v>
      </c>
      <c r="G100" s="210">
        <f>ROUNDUP(F100/1280,0)</f>
        <v>1</v>
      </c>
    </row>
    <row r="101" spans="2:7" x14ac:dyDescent="0.25">
      <c r="B101" s="206" t="s">
        <v>503</v>
      </c>
      <c r="C101" s="205"/>
      <c r="D101" s="205"/>
      <c r="E101" s="205"/>
      <c r="F101" s="205"/>
      <c r="G101" s="207"/>
    </row>
    <row r="102" spans="2:7" x14ac:dyDescent="0.25">
      <c r="B102" s="205" t="s">
        <v>495</v>
      </c>
      <c r="C102" s="205">
        <f>(C90+C91)+10</f>
        <v>48</v>
      </c>
      <c r="D102" s="205">
        <f>(D90*2)+10</f>
        <v>54</v>
      </c>
      <c r="E102" s="205">
        <f>(E90*2)+10</f>
        <v>42</v>
      </c>
      <c r="F102" s="205"/>
      <c r="G102" s="207"/>
    </row>
    <row r="103" spans="2:7" x14ac:dyDescent="0.25">
      <c r="B103" s="206" t="s">
        <v>496</v>
      </c>
      <c r="C103" s="206">
        <f>C92</f>
        <v>0</v>
      </c>
      <c r="D103" s="206">
        <f>D92</f>
        <v>16</v>
      </c>
      <c r="E103" s="206">
        <f>E92</f>
        <v>16</v>
      </c>
      <c r="F103" s="206"/>
      <c r="G103" s="208"/>
    </row>
    <row r="104" spans="2:7" x14ac:dyDescent="0.25">
      <c r="B104" s="205" t="s">
        <v>497</v>
      </c>
      <c r="C104" s="205">
        <f>SUM(C102:C103)</f>
        <v>48</v>
      </c>
      <c r="D104" s="205">
        <f>D102</f>
        <v>54</v>
      </c>
      <c r="E104" s="205">
        <f>E102</f>
        <v>42</v>
      </c>
      <c r="F104" s="205"/>
      <c r="G104" s="207"/>
    </row>
    <row r="105" spans="2:7" x14ac:dyDescent="0.25">
      <c r="B105" s="205" t="s">
        <v>503</v>
      </c>
      <c r="C105" s="207">
        <f>(((C104/12)/4)*C89)*C94</f>
        <v>72</v>
      </c>
      <c r="D105" s="207">
        <f>(((D104/12)/4)*D89)*D94</f>
        <v>81</v>
      </c>
      <c r="E105" s="207">
        <f>(((E104/12)/4)*E89)*E94</f>
        <v>63</v>
      </c>
      <c r="F105" s="205"/>
      <c r="G105" s="207"/>
    </row>
    <row r="106" spans="2:7" x14ac:dyDescent="0.25">
      <c r="B106" s="206" t="s">
        <v>502</v>
      </c>
      <c r="C106" s="205"/>
      <c r="D106" s="205"/>
      <c r="E106" s="205"/>
      <c r="F106" s="205"/>
      <c r="G106" s="207"/>
    </row>
    <row r="107" spans="2:7" x14ac:dyDescent="0.25">
      <c r="B107" s="205" t="s">
        <v>504</v>
      </c>
      <c r="C107" s="205">
        <f>ROUNDUP(C90/6,0)</f>
        <v>3</v>
      </c>
      <c r="D107" s="205">
        <f>ROUNDUP((D92/6)+1,0)</f>
        <v>4</v>
      </c>
      <c r="E107" s="205">
        <f>ROUNDUP((E92/6)+1,0)</f>
        <v>4</v>
      </c>
      <c r="F107" s="205"/>
      <c r="G107" s="207"/>
    </row>
    <row r="108" spans="2:7" x14ac:dyDescent="0.25">
      <c r="B108" s="205" t="s">
        <v>505</v>
      </c>
      <c r="C108" s="205">
        <f>((C107*(C93*12/16))*C89)</f>
        <v>216</v>
      </c>
      <c r="D108" s="205">
        <f>((D107*(D93*12/16))*D89)</f>
        <v>288</v>
      </c>
      <c r="E108" s="205">
        <f>((E107*(E93*12/16))*E89)</f>
        <v>288</v>
      </c>
      <c r="F108" s="205"/>
      <c r="G108" s="207"/>
    </row>
    <row r="110" spans="2:7" x14ac:dyDescent="0.25">
      <c r="B110" s="21" t="s">
        <v>514</v>
      </c>
    </row>
    <row r="111" spans="2:7" x14ac:dyDescent="0.25">
      <c r="B111" s="21" t="s">
        <v>515</v>
      </c>
      <c r="C111" s="21">
        <f>MAX(C90:C91)+C95</f>
        <v>34</v>
      </c>
      <c r="D111" s="21">
        <f>D90+D95</f>
        <v>34</v>
      </c>
      <c r="E111" s="21">
        <f>E90+E95</f>
        <v>28</v>
      </c>
    </row>
    <row r="112" spans="2:7" x14ac:dyDescent="0.25">
      <c r="B112" s="47"/>
      <c r="C112" s="21">
        <f>C111-C95</f>
        <v>22</v>
      </c>
      <c r="D112" s="21">
        <f>D111-D95</f>
        <v>22</v>
      </c>
      <c r="E112" s="21">
        <f>E111-E95</f>
        <v>16</v>
      </c>
    </row>
    <row r="113" spans="2:5" x14ac:dyDescent="0.25">
      <c r="B113" s="47" t="s">
        <v>516</v>
      </c>
      <c r="C113" s="21">
        <f t="array" ref="C113">MAX(IF(C118:C122&gt;=0,B118:B122))</f>
        <v>12</v>
      </c>
      <c r="D113" s="21">
        <f t="array" ref="D113">MAX(IF(D118:D122&gt;=0,B118:B122))</f>
        <v>12</v>
      </c>
      <c r="E113" s="21">
        <f t="array" ref="E113">MAX(IF(E118:E122&gt;=0,B118:B122))</f>
        <v>12</v>
      </c>
    </row>
    <row r="114" spans="2:5" x14ac:dyDescent="0.25">
      <c r="C114" s="21">
        <f>MAX(0,C112-MAX(B118:B122))</f>
        <v>10</v>
      </c>
      <c r="D114" s="21">
        <f>MAX(0,D112-MAX(B118:B122))</f>
        <v>10</v>
      </c>
      <c r="E114" s="21">
        <f>MAX(0,E112-MAX(B118:B122))</f>
        <v>4</v>
      </c>
    </row>
    <row r="115" spans="2:5" x14ac:dyDescent="0.25">
      <c r="B115" s="21" t="s">
        <v>517</v>
      </c>
      <c r="C115" s="21">
        <f t="array" ref="C115">MAX(IF(C124:C128&gt;=0,B124:B128))</f>
        <v>10</v>
      </c>
      <c r="D115" s="21">
        <f t="array" ref="D115">MAX(IF(D124:D128&gt;=0,B124:B128))</f>
        <v>10</v>
      </c>
      <c r="E115" s="21">
        <f t="array" ref="E115">MAX(IF(E124:E128&gt;=0,B124:B128))</f>
        <v>4</v>
      </c>
    </row>
    <row r="118" spans="2:5" x14ac:dyDescent="0.25">
      <c r="B118" s="21">
        <v>4</v>
      </c>
      <c r="C118" s="21">
        <f>$C$112-B118</f>
        <v>18</v>
      </c>
      <c r="D118" s="21">
        <f>$D$112-B118</f>
        <v>18</v>
      </c>
      <c r="E118" s="21">
        <f>$E$112-B118</f>
        <v>12</v>
      </c>
    </row>
    <row r="119" spans="2:5" x14ac:dyDescent="0.25">
      <c r="B119" s="21">
        <v>6</v>
      </c>
      <c r="C119" s="21">
        <f>$C$112-B119</f>
        <v>16</v>
      </c>
      <c r="D119" s="21">
        <f>$D$112-B119</f>
        <v>16</v>
      </c>
      <c r="E119" s="21">
        <f>$E$112-B119</f>
        <v>10</v>
      </c>
    </row>
    <row r="120" spans="2:5" x14ac:dyDescent="0.25">
      <c r="B120" s="21">
        <v>8</v>
      </c>
      <c r="C120" s="21">
        <f>$C$112-B120</f>
        <v>14</v>
      </c>
      <c r="D120" s="21">
        <f>$D$112-B120</f>
        <v>14</v>
      </c>
      <c r="E120" s="21">
        <f>$E$112-B120</f>
        <v>8</v>
      </c>
    </row>
    <row r="121" spans="2:5" x14ac:dyDescent="0.25">
      <c r="B121" s="21">
        <v>10</v>
      </c>
      <c r="C121" s="21">
        <f>$C$112-B121</f>
        <v>12</v>
      </c>
      <c r="D121" s="21">
        <f>$D$112-B121</f>
        <v>12</v>
      </c>
      <c r="E121" s="21">
        <f>$E$112-B121</f>
        <v>6</v>
      </c>
    </row>
    <row r="122" spans="2:5" x14ac:dyDescent="0.25">
      <c r="B122" s="21">
        <v>12</v>
      </c>
      <c r="C122" s="21">
        <f>$C$112-B122</f>
        <v>10</v>
      </c>
      <c r="D122" s="21">
        <f>$D$112-B122</f>
        <v>10</v>
      </c>
      <c r="E122" s="21">
        <f>$E$112-B122</f>
        <v>4</v>
      </c>
    </row>
    <row r="124" spans="2:5" x14ac:dyDescent="0.25">
      <c r="B124" s="21">
        <v>4</v>
      </c>
      <c r="C124" s="21">
        <f>$C$114-B124</f>
        <v>6</v>
      </c>
      <c r="D124" s="21">
        <f>$D$114-B124</f>
        <v>6</v>
      </c>
      <c r="E124" s="21">
        <f>$E$114-B124</f>
        <v>0</v>
      </c>
    </row>
    <row r="125" spans="2:5" x14ac:dyDescent="0.25">
      <c r="B125" s="21">
        <v>6</v>
      </c>
      <c r="C125" s="21">
        <f>$C$114-B125</f>
        <v>4</v>
      </c>
      <c r="D125" s="21">
        <f>$D$114-B125</f>
        <v>4</v>
      </c>
      <c r="E125" s="21">
        <f>$E$114-B125</f>
        <v>-2</v>
      </c>
    </row>
    <row r="126" spans="2:5" x14ac:dyDescent="0.25">
      <c r="B126" s="21">
        <v>8</v>
      </c>
      <c r="C126" s="21">
        <f>$C$114-B126</f>
        <v>2</v>
      </c>
      <c r="D126" s="21">
        <f>$D$114-B126</f>
        <v>2</v>
      </c>
      <c r="E126" s="21">
        <f>$E$114-B126</f>
        <v>-4</v>
      </c>
    </row>
    <row r="127" spans="2:5" x14ac:dyDescent="0.25">
      <c r="B127" s="21">
        <v>10</v>
      </c>
      <c r="C127" s="21">
        <f>$C$114-B127</f>
        <v>0</v>
      </c>
      <c r="D127" s="21">
        <f>$D$114-B127</f>
        <v>0</v>
      </c>
      <c r="E127" s="21">
        <f>$E$114-B127</f>
        <v>-6</v>
      </c>
    </row>
    <row r="128" spans="2:5" x14ac:dyDescent="0.25">
      <c r="B128" s="21">
        <v>12</v>
      </c>
      <c r="C128" s="21">
        <f>$C$114-B128</f>
        <v>-2</v>
      </c>
      <c r="D128" s="21">
        <f>$D$114-B128</f>
        <v>-2</v>
      </c>
      <c r="E128" s="21">
        <f>$E$114-B128</f>
        <v>-8</v>
      </c>
    </row>
  </sheetData>
  <sheetProtection sheet="1" objects="1" scenarios="1" selectLockedCells="1"/>
  <mergeCells count="25">
    <mergeCell ref="H58:Q58"/>
    <mergeCell ref="K14:O14"/>
    <mergeCell ref="K10:L10"/>
    <mergeCell ref="K3:P3"/>
    <mergeCell ref="B8:C8"/>
    <mergeCell ref="B9:C9"/>
    <mergeCell ref="B3:I3"/>
    <mergeCell ref="K8:L8"/>
    <mergeCell ref="K9:L9"/>
    <mergeCell ref="B87:G87"/>
    <mergeCell ref="F59:F60"/>
    <mergeCell ref="G59:G60"/>
    <mergeCell ref="H59:Q59"/>
    <mergeCell ref="Q15:T15"/>
    <mergeCell ref="B31:C31"/>
    <mergeCell ref="D32:E32"/>
    <mergeCell ref="D33:E33"/>
    <mergeCell ref="F32:H32"/>
    <mergeCell ref="F33:H33"/>
    <mergeCell ref="H71:Q71"/>
    <mergeCell ref="F72:F73"/>
    <mergeCell ref="G72:G73"/>
    <mergeCell ref="H72:Q72"/>
    <mergeCell ref="B58:D58"/>
    <mergeCell ref="F58:G58"/>
  </mergeCells>
  <dataValidations disablePrompts="1" count="2">
    <dataValidation type="whole" operator="greaterThanOrEqual" allowBlank="1" showInputMessage="1" showErrorMessage="1" sqref="O7:P7" xr:uid="{00000000-0002-0000-0D00-000000000000}">
      <formula1>1</formula1>
    </dataValidation>
    <dataValidation type="whole" allowBlank="1" showInputMessage="1" showErrorMessage="1" sqref="M16" xr:uid="{00000000-0002-0000-0D00-000001000000}">
      <formula1>0</formula1>
      <formula2>14</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7" r:id="rId4" name="Spinner 5">
              <controlPr defaultSize="0" autoPict="0">
                <anchor moveWithCells="1" sizeWithCells="1">
                  <from>
                    <xdr:col>13</xdr:col>
                    <xdr:colOff>990600</xdr:colOff>
                    <xdr:row>4</xdr:row>
                    <xdr:rowOff>9525</xdr:rowOff>
                  </from>
                  <to>
                    <xdr:col>14</xdr:col>
                    <xdr:colOff>9525</xdr:colOff>
                    <xdr:row>4</xdr:row>
                    <xdr:rowOff>180975</xdr:rowOff>
                  </to>
                </anchor>
              </controlPr>
            </control>
          </mc:Choice>
        </mc:AlternateContent>
        <mc:AlternateContent xmlns:mc="http://schemas.openxmlformats.org/markup-compatibility/2006">
          <mc:Choice Requires="x14">
            <control shapeId="38918" r:id="rId5" name="Spinner 6">
              <controlPr defaultSize="0" autoPict="0">
                <anchor moveWithCells="1" sizeWithCells="1">
                  <from>
                    <xdr:col>14</xdr:col>
                    <xdr:colOff>819150</xdr:colOff>
                    <xdr:row>3</xdr:row>
                    <xdr:rowOff>180975</xdr:rowOff>
                  </from>
                  <to>
                    <xdr:col>15</xdr:col>
                    <xdr:colOff>0</xdr:colOff>
                    <xdr:row>4</xdr:row>
                    <xdr:rowOff>180975</xdr:rowOff>
                  </to>
                </anchor>
              </controlPr>
            </control>
          </mc:Choice>
        </mc:AlternateContent>
        <mc:AlternateContent xmlns:mc="http://schemas.openxmlformats.org/markup-compatibility/2006">
          <mc:Choice Requires="x14">
            <control shapeId="38919" r:id="rId6" name="Spinner 7">
              <controlPr defaultSize="0" autoPict="0">
                <anchor moveWithCells="1" sizeWithCells="1">
                  <from>
                    <xdr:col>13</xdr:col>
                    <xdr:colOff>990600</xdr:colOff>
                    <xdr:row>6</xdr:row>
                    <xdr:rowOff>9525</xdr:rowOff>
                  </from>
                  <to>
                    <xdr:col>14</xdr:col>
                    <xdr:colOff>9525</xdr:colOff>
                    <xdr:row>6</xdr:row>
                    <xdr:rowOff>180975</xdr:rowOff>
                  </to>
                </anchor>
              </controlPr>
            </control>
          </mc:Choice>
        </mc:AlternateContent>
        <mc:AlternateContent xmlns:mc="http://schemas.openxmlformats.org/markup-compatibility/2006">
          <mc:Choice Requires="x14">
            <control shapeId="38920" r:id="rId7" name="Spinner 8">
              <controlPr defaultSize="0" autoPict="0">
                <anchor moveWithCells="1" sizeWithCells="1">
                  <from>
                    <xdr:col>14</xdr:col>
                    <xdr:colOff>866775</xdr:colOff>
                    <xdr:row>6</xdr:row>
                    <xdr:rowOff>9525</xdr:rowOff>
                  </from>
                  <to>
                    <xdr:col>14</xdr:col>
                    <xdr:colOff>1085850</xdr:colOff>
                    <xdr:row>7</xdr:row>
                    <xdr:rowOff>9525</xdr:rowOff>
                  </to>
                </anchor>
              </controlPr>
            </control>
          </mc:Choice>
        </mc:AlternateContent>
        <mc:AlternateContent xmlns:mc="http://schemas.openxmlformats.org/markup-compatibility/2006">
          <mc:Choice Requires="x14">
            <control shapeId="38921" r:id="rId8" name="Spinner 9">
              <controlPr defaultSize="0" autoPict="0">
                <anchor moveWithCells="1" sizeWithCells="1">
                  <from>
                    <xdr:col>15</xdr:col>
                    <xdr:colOff>1152525</xdr:colOff>
                    <xdr:row>5</xdr:row>
                    <xdr:rowOff>180975</xdr:rowOff>
                  </from>
                  <to>
                    <xdr:col>15</xdr:col>
                    <xdr:colOff>1314450</xdr:colOff>
                    <xdr:row>6</xdr:row>
                    <xdr:rowOff>180975</xdr:rowOff>
                  </to>
                </anchor>
              </controlPr>
            </control>
          </mc:Choice>
        </mc:AlternateContent>
      </controls>
    </mc:Choice>
  </mc:AlternateContent>
  <tableParts count="2">
    <tablePart r:id="rId9"/>
    <tablePart r:id="rId10"/>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J76"/>
  <sheetViews>
    <sheetView workbookViewId="0">
      <selection activeCell="C6" sqref="C6:F6"/>
    </sheetView>
  </sheetViews>
  <sheetFormatPr defaultRowHeight="15" x14ac:dyDescent="0.25"/>
  <cols>
    <col min="1" max="1" width="9.140625" style="366"/>
    <col min="2" max="2" width="28" style="366" bestFit="1" customWidth="1"/>
    <col min="3" max="3" width="29" style="366" bestFit="1" customWidth="1"/>
    <col min="4" max="4" width="22.85546875" style="366" bestFit="1" customWidth="1"/>
    <col min="5" max="5" width="14.140625" style="366" bestFit="1" customWidth="1"/>
    <col min="6" max="6" width="20.85546875" style="366" bestFit="1" customWidth="1"/>
    <col min="7" max="7" width="27.5703125" style="366" bestFit="1" customWidth="1"/>
    <col min="8" max="8" width="45.140625" style="366" bestFit="1" customWidth="1"/>
    <col min="9" max="16384" width="9.140625" style="366"/>
  </cols>
  <sheetData>
    <row r="3" spans="2:8" x14ac:dyDescent="0.25">
      <c r="B3" s="364" t="s">
        <v>472</v>
      </c>
      <c r="C3" s="364" t="s">
        <v>473</v>
      </c>
      <c r="D3" s="364" t="s">
        <v>474</v>
      </c>
      <c r="E3" s="364" t="s">
        <v>475</v>
      </c>
      <c r="F3" s="365" t="s">
        <v>476</v>
      </c>
      <c r="G3" s="365" t="s">
        <v>477</v>
      </c>
      <c r="H3" s="365" t="s">
        <v>478</v>
      </c>
    </row>
    <row r="4" spans="2:8" x14ac:dyDescent="0.25">
      <c r="B4" s="367">
        <v>4</v>
      </c>
      <c r="C4" s="368">
        <v>123</v>
      </c>
      <c r="D4" s="368">
        <v>4</v>
      </c>
      <c r="E4" s="368">
        <v>7</v>
      </c>
      <c r="F4" s="364">
        <f>ROUNDUP((C4-(D4*8/12))*(E4-1),0)</f>
        <v>722</v>
      </c>
      <c r="G4" s="364">
        <f>ROUNDUP((C4-(D4*8/12))*2,0)</f>
        <v>241</v>
      </c>
      <c r="H4" s="364">
        <f>ROUNDDOWN((G4/60),0)</f>
        <v>4</v>
      </c>
    </row>
    <row r="5" spans="2:8" x14ac:dyDescent="0.25">
      <c r="B5" s="367">
        <v>6</v>
      </c>
      <c r="C5" s="368">
        <v>124</v>
      </c>
      <c r="D5" s="368">
        <v>4</v>
      </c>
      <c r="E5" s="368">
        <v>7</v>
      </c>
      <c r="F5" s="364">
        <f>ROUNDUP((C5-D5)*(E5-1),0)</f>
        <v>720</v>
      </c>
      <c r="G5" s="364">
        <f>ROUNDUP((C5-D5)*2,0)</f>
        <v>240</v>
      </c>
      <c r="H5" s="364">
        <f>ROUNDDOWN((G5/60),0)</f>
        <v>4</v>
      </c>
    </row>
    <row r="12" spans="2:8" x14ac:dyDescent="0.25">
      <c r="B12" s="364"/>
      <c r="C12" s="825" t="s">
        <v>479</v>
      </c>
      <c r="D12" s="825"/>
      <c r="E12" s="364"/>
    </row>
    <row r="13" spans="2:8" x14ac:dyDescent="0.25">
      <c r="B13" s="364"/>
      <c r="C13" s="364" t="s">
        <v>480</v>
      </c>
      <c r="D13" s="364" t="s">
        <v>481</v>
      </c>
      <c r="E13" s="364" t="s">
        <v>482</v>
      </c>
    </row>
    <row r="14" spans="2:8" x14ac:dyDescent="0.25">
      <c r="B14" s="367">
        <v>4</v>
      </c>
      <c r="C14" s="368"/>
      <c r="D14" s="368"/>
      <c r="E14" s="364">
        <f>(C14*60)+(D14*60)</f>
        <v>0</v>
      </c>
    </row>
    <row r="15" spans="2:8" x14ac:dyDescent="0.25">
      <c r="B15" s="367">
        <v>6</v>
      </c>
      <c r="C15" s="368"/>
      <c r="D15" s="368"/>
      <c r="E15" s="364">
        <f>(C15*48)+(D15*60)</f>
        <v>0</v>
      </c>
    </row>
    <row r="17" spans="2:10" ht="15.75" thickBot="1" x14ac:dyDescent="0.3">
      <c r="F17" s="369"/>
    </row>
    <row r="18" spans="2:10" x14ac:dyDescent="0.25">
      <c r="B18" s="833" t="s">
        <v>521</v>
      </c>
      <c r="C18" s="834"/>
      <c r="D18" s="834"/>
      <c r="E18" s="834"/>
      <c r="F18" s="834"/>
      <c r="G18" s="835"/>
    </row>
    <row r="19" spans="2:10" ht="15.75" thickBot="1" x14ac:dyDescent="0.3">
      <c r="B19" s="379"/>
      <c r="C19" s="374" t="s">
        <v>522</v>
      </c>
      <c r="D19" s="382" t="s">
        <v>523</v>
      </c>
      <c r="E19" s="383"/>
      <c r="F19" s="387" t="s">
        <v>39</v>
      </c>
      <c r="G19" s="373" t="s">
        <v>481</v>
      </c>
      <c r="H19" s="370"/>
      <c r="I19" s="370"/>
      <c r="J19" s="370"/>
    </row>
    <row r="20" spans="2:10" x14ac:dyDescent="0.25">
      <c r="B20" s="379" t="s">
        <v>524</v>
      </c>
      <c r="C20" s="380">
        <v>8</v>
      </c>
      <c r="D20" s="381"/>
      <c r="E20" s="384"/>
      <c r="F20" s="387">
        <v>6</v>
      </c>
      <c r="G20" s="373" t="s">
        <v>531</v>
      </c>
      <c r="H20" s="370"/>
      <c r="I20" s="370"/>
      <c r="J20" s="370"/>
    </row>
    <row r="21" spans="2:10" x14ac:dyDescent="0.25">
      <c r="B21" s="379" t="s">
        <v>525</v>
      </c>
      <c r="C21" s="376"/>
      <c r="D21" s="371" t="s">
        <v>48</v>
      </c>
      <c r="E21" s="385"/>
      <c r="F21" s="387">
        <v>8</v>
      </c>
      <c r="G21" s="373" t="s">
        <v>48</v>
      </c>
      <c r="H21" s="370"/>
      <c r="I21" s="370"/>
      <c r="J21" s="370"/>
    </row>
    <row r="22" spans="2:10" x14ac:dyDescent="0.25">
      <c r="B22" s="379" t="s">
        <v>526</v>
      </c>
      <c r="C22" s="377">
        <v>112</v>
      </c>
      <c r="D22" s="368">
        <v>208</v>
      </c>
      <c r="E22" s="385"/>
      <c r="F22" s="387">
        <v>10</v>
      </c>
      <c r="G22" s="373" t="s">
        <v>49</v>
      </c>
      <c r="H22" s="370"/>
      <c r="I22" s="370"/>
      <c r="J22" s="370"/>
    </row>
    <row r="23" spans="2:10" x14ac:dyDescent="0.25">
      <c r="B23" s="379" t="s">
        <v>530</v>
      </c>
      <c r="C23" s="378">
        <f>ROUNDUP(C22/32,0)</f>
        <v>4</v>
      </c>
      <c r="D23" s="372">
        <f>IF(D21="BL1090",D22/8,IF(D21="BL1290",D22/8,0))</f>
        <v>26</v>
      </c>
      <c r="E23" s="385"/>
      <c r="F23" s="387">
        <v>12</v>
      </c>
      <c r="G23" s="373"/>
      <c r="H23" s="370"/>
      <c r="I23" s="370"/>
      <c r="J23" s="370"/>
    </row>
    <row r="24" spans="2:10" x14ac:dyDescent="0.25">
      <c r="B24" s="379" t="s">
        <v>532</v>
      </c>
      <c r="C24" s="378">
        <f>C23*16</f>
        <v>64</v>
      </c>
      <c r="D24" s="372">
        <f>D23*8</f>
        <v>208</v>
      </c>
      <c r="E24" s="385"/>
      <c r="F24" s="387">
        <v>14</v>
      </c>
      <c r="G24" s="373"/>
      <c r="H24" s="370"/>
      <c r="I24" s="370"/>
      <c r="J24" s="370"/>
    </row>
    <row r="25" spans="2:10" x14ac:dyDescent="0.25">
      <c r="B25" s="379" t="s">
        <v>533</v>
      </c>
      <c r="C25" s="378">
        <f>C24*2</f>
        <v>128</v>
      </c>
      <c r="D25" s="372">
        <f>D24</f>
        <v>208</v>
      </c>
      <c r="E25" s="385"/>
      <c r="F25" s="387"/>
      <c r="G25" s="373"/>
      <c r="H25" s="370"/>
      <c r="I25" s="370"/>
      <c r="J25" s="370"/>
    </row>
    <row r="26" spans="2:10" x14ac:dyDescent="0.25">
      <c r="B26" s="379" t="s">
        <v>527</v>
      </c>
      <c r="C26" s="378">
        <f>C22*8</f>
        <v>896</v>
      </c>
      <c r="D26" s="372">
        <f>IF(D21="BL1090",D22*6,IF(D21="BL1290",D22*6,0))</f>
        <v>1248</v>
      </c>
      <c r="E26" s="386">
        <f>C26+D26</f>
        <v>2144</v>
      </c>
      <c r="F26" s="387"/>
      <c r="G26" s="373"/>
      <c r="H26" s="370"/>
      <c r="I26" s="370"/>
      <c r="J26" s="370"/>
    </row>
    <row r="27" spans="2:10" x14ac:dyDescent="0.25">
      <c r="B27" s="379" t="s">
        <v>528</v>
      </c>
      <c r="C27" s="378">
        <f>C23*16*16</f>
        <v>1024</v>
      </c>
      <c r="D27" s="372">
        <f>IF(D21="BL1090",D22*12,IF(D21="BL1290",D22*12,0))</f>
        <v>2496</v>
      </c>
      <c r="E27" s="386">
        <f>C27+D27</f>
        <v>3520</v>
      </c>
      <c r="F27" s="387"/>
      <c r="G27" s="373"/>
      <c r="H27" s="370"/>
      <c r="I27" s="370"/>
      <c r="J27" s="370"/>
    </row>
    <row r="28" spans="2:10" ht="15.75" thickBot="1" x14ac:dyDescent="0.3">
      <c r="B28" s="389" t="s">
        <v>529</v>
      </c>
      <c r="C28" s="826">
        <f>C20-2</f>
        <v>6</v>
      </c>
      <c r="D28" s="827"/>
      <c r="E28" s="390"/>
      <c r="F28" s="388"/>
      <c r="G28" s="375"/>
      <c r="H28" s="370"/>
      <c r="I28" s="370"/>
      <c r="J28" s="370"/>
    </row>
    <row r="29" spans="2:10" x14ac:dyDescent="0.25">
      <c r="B29" s="828" t="s">
        <v>534</v>
      </c>
      <c r="C29" s="829"/>
      <c r="D29" s="829"/>
      <c r="E29" s="830"/>
      <c r="H29" s="370"/>
      <c r="I29" s="370"/>
      <c r="J29" s="370"/>
    </row>
    <row r="30" spans="2:10" x14ac:dyDescent="0.25">
      <c r="B30" s="391" t="s">
        <v>535</v>
      </c>
      <c r="C30" s="392">
        <f>C28</f>
        <v>6</v>
      </c>
      <c r="D30" s="396">
        <f>C23</f>
        <v>4</v>
      </c>
      <c r="E30" s="397">
        <f>D30*16</f>
        <v>64</v>
      </c>
      <c r="H30" s="370"/>
      <c r="I30" s="370"/>
      <c r="J30" s="370"/>
    </row>
    <row r="31" spans="2:10" x14ac:dyDescent="0.25">
      <c r="B31" s="391" t="s">
        <v>536</v>
      </c>
      <c r="C31" s="393" t="str">
        <f>D21</f>
        <v>BL1090</v>
      </c>
      <c r="D31" s="396">
        <f>D23</f>
        <v>26</v>
      </c>
      <c r="E31" s="397">
        <f>D31*8</f>
        <v>208</v>
      </c>
      <c r="H31" s="370"/>
      <c r="I31" s="370"/>
      <c r="J31" s="370"/>
    </row>
    <row r="32" spans="2:10" x14ac:dyDescent="0.25">
      <c r="B32" s="391" t="s">
        <v>527</v>
      </c>
      <c r="C32" s="400"/>
      <c r="D32" s="831">
        <f>E26</f>
        <v>2144</v>
      </c>
      <c r="E32" s="832"/>
      <c r="H32" s="370"/>
      <c r="I32" s="370"/>
      <c r="J32" s="370"/>
    </row>
    <row r="33" spans="2:10" ht="15.75" thickBot="1" x14ac:dyDescent="0.3">
      <c r="B33" s="394" t="s">
        <v>528</v>
      </c>
      <c r="C33" s="395">
        <f>C28</f>
        <v>6</v>
      </c>
      <c r="D33" s="399">
        <f>E27</f>
        <v>3520</v>
      </c>
      <c r="E33" s="398">
        <f>ROUNDUP(D33/256,0)</f>
        <v>14</v>
      </c>
      <c r="H33" s="370"/>
      <c r="I33" s="370"/>
      <c r="J33" s="370"/>
    </row>
    <row r="34" spans="2:10" x14ac:dyDescent="0.25">
      <c r="H34" s="370"/>
      <c r="I34" s="370"/>
      <c r="J34" s="370"/>
    </row>
    <row r="35" spans="2:10" x14ac:dyDescent="0.25">
      <c r="H35" s="370"/>
      <c r="I35" s="370"/>
      <c r="J35" s="370"/>
    </row>
    <row r="36" spans="2:10" x14ac:dyDescent="0.25">
      <c r="B36" s="370"/>
      <c r="C36" s="370"/>
      <c r="D36" s="370"/>
      <c r="E36" s="370"/>
      <c r="F36" s="370"/>
      <c r="G36" s="370"/>
      <c r="H36" s="370"/>
      <c r="I36" s="370"/>
      <c r="J36" s="370"/>
    </row>
    <row r="37" spans="2:10" x14ac:dyDescent="0.25">
      <c r="B37" s="370"/>
      <c r="C37" s="370"/>
      <c r="D37" s="370"/>
      <c r="E37" s="370"/>
      <c r="F37" s="370"/>
      <c r="G37" s="370"/>
      <c r="H37" s="370"/>
      <c r="I37" s="370"/>
      <c r="J37" s="370"/>
    </row>
    <row r="38" spans="2:10" x14ac:dyDescent="0.25">
      <c r="B38" s="370"/>
      <c r="C38" s="370"/>
      <c r="D38" s="370"/>
      <c r="E38" s="370"/>
      <c r="F38" s="370"/>
      <c r="G38" s="370"/>
      <c r="H38" s="370"/>
      <c r="I38" s="370"/>
      <c r="J38" s="370"/>
    </row>
    <row r="39" spans="2:10" x14ac:dyDescent="0.25">
      <c r="B39" s="370"/>
      <c r="C39" s="370"/>
      <c r="D39" s="370"/>
      <c r="E39" s="370"/>
      <c r="F39" s="370"/>
      <c r="G39" s="370"/>
      <c r="H39" s="370"/>
      <c r="I39" s="370"/>
      <c r="J39" s="370"/>
    </row>
    <row r="40" spans="2:10" x14ac:dyDescent="0.25">
      <c r="B40" s="370"/>
      <c r="C40" s="370"/>
      <c r="D40" s="370"/>
      <c r="E40" s="370"/>
      <c r="F40" s="370"/>
      <c r="G40" s="370"/>
      <c r="H40" s="370"/>
      <c r="I40" s="370"/>
      <c r="J40" s="370"/>
    </row>
    <row r="41" spans="2:10" x14ac:dyDescent="0.25">
      <c r="B41" s="370"/>
      <c r="C41" s="370"/>
      <c r="D41" s="370"/>
      <c r="E41" s="370"/>
      <c r="F41" s="370"/>
      <c r="G41" s="370"/>
      <c r="H41" s="370"/>
      <c r="I41" s="370"/>
      <c r="J41" s="370"/>
    </row>
    <row r="42" spans="2:10" x14ac:dyDescent="0.25">
      <c r="B42" s="370"/>
      <c r="C42" s="370"/>
      <c r="D42" s="370"/>
      <c r="E42" s="370"/>
      <c r="F42" s="370"/>
      <c r="G42" s="370"/>
      <c r="H42" s="370"/>
      <c r="I42" s="370"/>
      <c r="J42" s="370"/>
    </row>
    <row r="43" spans="2:10" x14ac:dyDescent="0.25">
      <c r="B43" s="370"/>
      <c r="C43" s="370"/>
      <c r="D43" s="370"/>
      <c r="E43" s="370"/>
      <c r="F43" s="370"/>
      <c r="G43" s="370"/>
      <c r="H43" s="370"/>
      <c r="I43" s="370"/>
      <c r="J43" s="370"/>
    </row>
    <row r="44" spans="2:10" x14ac:dyDescent="0.25">
      <c r="B44" s="370"/>
      <c r="C44" s="370"/>
      <c r="D44" s="370"/>
      <c r="E44" s="370"/>
      <c r="F44" s="370"/>
      <c r="G44" s="370"/>
      <c r="H44" s="370"/>
      <c r="I44" s="370"/>
      <c r="J44" s="370"/>
    </row>
    <row r="45" spans="2:10" x14ac:dyDescent="0.25">
      <c r="B45" s="370"/>
      <c r="C45" s="370"/>
      <c r="D45" s="370"/>
      <c r="E45" s="370"/>
      <c r="F45" s="370"/>
      <c r="G45" s="370"/>
      <c r="H45" s="370"/>
      <c r="I45" s="370"/>
      <c r="J45" s="370"/>
    </row>
    <row r="46" spans="2:10" x14ac:dyDescent="0.25">
      <c r="B46" s="370"/>
      <c r="C46" s="370"/>
      <c r="D46" s="370"/>
      <c r="E46" s="370"/>
      <c r="F46" s="370"/>
      <c r="G46" s="370"/>
      <c r="H46" s="370"/>
      <c r="I46" s="370"/>
      <c r="J46" s="370"/>
    </row>
    <row r="47" spans="2:10" x14ac:dyDescent="0.25">
      <c r="B47" s="370"/>
      <c r="C47" s="370"/>
      <c r="D47" s="370"/>
      <c r="E47" s="370"/>
      <c r="F47" s="370"/>
      <c r="G47" s="370"/>
      <c r="H47" s="370"/>
      <c r="I47" s="370"/>
      <c r="J47" s="370"/>
    </row>
    <row r="48" spans="2:10" x14ac:dyDescent="0.25">
      <c r="B48" s="370"/>
      <c r="C48" s="370"/>
      <c r="D48" s="370"/>
      <c r="E48" s="370"/>
      <c r="F48" s="370"/>
      <c r="G48" s="370"/>
      <c r="H48" s="370"/>
      <c r="I48" s="370"/>
      <c r="J48" s="370"/>
    </row>
    <row r="49" spans="2:10" x14ac:dyDescent="0.25">
      <c r="B49" s="370"/>
      <c r="C49" s="370"/>
      <c r="D49" s="370"/>
      <c r="E49" s="370"/>
      <c r="F49" s="370"/>
      <c r="G49" s="370"/>
      <c r="H49" s="370"/>
      <c r="I49" s="370"/>
      <c r="J49" s="370"/>
    </row>
    <row r="50" spans="2:10" x14ac:dyDescent="0.25">
      <c r="B50" s="370"/>
      <c r="C50" s="370"/>
      <c r="D50" s="370"/>
      <c r="E50" s="370"/>
      <c r="F50" s="370"/>
      <c r="G50" s="370"/>
      <c r="H50" s="370"/>
      <c r="I50" s="370"/>
      <c r="J50" s="370"/>
    </row>
    <row r="51" spans="2:10" x14ac:dyDescent="0.25">
      <c r="B51" s="370"/>
      <c r="C51" s="370"/>
      <c r="D51" s="370"/>
      <c r="E51" s="370"/>
      <c r="F51" s="370"/>
      <c r="G51" s="370"/>
      <c r="H51" s="370"/>
      <c r="I51" s="370"/>
      <c r="J51" s="370"/>
    </row>
    <row r="52" spans="2:10" x14ac:dyDescent="0.25">
      <c r="B52" s="370"/>
      <c r="C52" s="370"/>
      <c r="D52" s="370"/>
      <c r="E52" s="370"/>
      <c r="F52" s="370"/>
      <c r="G52" s="370"/>
      <c r="H52" s="370"/>
      <c r="I52" s="370"/>
      <c r="J52" s="370"/>
    </row>
    <row r="53" spans="2:10" x14ac:dyDescent="0.25">
      <c r="B53" s="370"/>
      <c r="C53" s="370"/>
      <c r="D53" s="370"/>
      <c r="E53" s="370"/>
      <c r="F53" s="370"/>
      <c r="G53" s="370"/>
      <c r="H53" s="370"/>
      <c r="I53" s="370"/>
      <c r="J53" s="370"/>
    </row>
    <row r="54" spans="2:10" x14ac:dyDescent="0.25">
      <c r="B54" s="370"/>
      <c r="C54" s="370"/>
      <c r="D54" s="370"/>
      <c r="E54" s="370"/>
      <c r="F54" s="370"/>
      <c r="G54" s="370"/>
      <c r="H54" s="370"/>
      <c r="I54" s="370"/>
      <c r="J54" s="370"/>
    </row>
    <row r="55" spans="2:10" x14ac:dyDescent="0.25">
      <c r="B55" s="370"/>
      <c r="C55" s="370"/>
      <c r="D55" s="370"/>
      <c r="E55" s="370"/>
      <c r="F55" s="370"/>
      <c r="G55" s="370"/>
      <c r="H55" s="370"/>
      <c r="I55" s="370"/>
      <c r="J55" s="370"/>
    </row>
    <row r="56" spans="2:10" x14ac:dyDescent="0.25">
      <c r="B56" s="370"/>
      <c r="C56" s="370"/>
      <c r="D56" s="370"/>
      <c r="E56" s="370"/>
      <c r="F56" s="370"/>
      <c r="G56" s="370"/>
      <c r="H56" s="370"/>
      <c r="I56" s="370"/>
      <c r="J56" s="370"/>
    </row>
    <row r="57" spans="2:10" x14ac:dyDescent="0.25">
      <c r="B57" s="370"/>
      <c r="C57" s="370"/>
      <c r="D57" s="370"/>
      <c r="E57" s="370"/>
      <c r="F57" s="370"/>
      <c r="G57" s="370"/>
      <c r="H57" s="370"/>
      <c r="I57" s="370"/>
      <c r="J57" s="370"/>
    </row>
    <row r="58" spans="2:10" x14ac:dyDescent="0.25">
      <c r="B58" s="370"/>
      <c r="C58" s="370"/>
      <c r="D58" s="370"/>
      <c r="E58" s="370"/>
      <c r="F58" s="370"/>
      <c r="G58" s="370"/>
      <c r="H58" s="370"/>
      <c r="I58" s="370"/>
      <c r="J58" s="370"/>
    </row>
    <row r="59" spans="2:10" x14ac:dyDescent="0.25">
      <c r="B59" s="370"/>
      <c r="C59" s="370"/>
      <c r="D59" s="370"/>
      <c r="E59" s="370"/>
      <c r="F59" s="370"/>
      <c r="G59" s="370"/>
      <c r="H59" s="370"/>
      <c r="I59" s="370"/>
      <c r="J59" s="370"/>
    </row>
    <row r="60" spans="2:10" x14ac:dyDescent="0.25">
      <c r="B60" s="370"/>
      <c r="C60" s="370"/>
      <c r="D60" s="370"/>
      <c r="E60" s="370"/>
      <c r="F60" s="370"/>
      <c r="G60" s="370"/>
      <c r="H60" s="370"/>
      <c r="I60" s="370"/>
      <c r="J60" s="370"/>
    </row>
    <row r="61" spans="2:10" x14ac:dyDescent="0.25">
      <c r="B61" s="370"/>
      <c r="C61" s="370"/>
      <c r="D61" s="370"/>
      <c r="E61" s="370"/>
      <c r="F61" s="370"/>
      <c r="G61" s="370"/>
      <c r="H61" s="370"/>
      <c r="I61" s="370"/>
      <c r="J61" s="370"/>
    </row>
    <row r="62" spans="2:10" x14ac:dyDescent="0.25">
      <c r="B62" s="370"/>
      <c r="C62" s="370"/>
      <c r="D62" s="370"/>
      <c r="E62" s="370"/>
      <c r="F62" s="370"/>
      <c r="G62" s="370"/>
      <c r="H62" s="370"/>
      <c r="I62" s="370"/>
      <c r="J62" s="370"/>
    </row>
    <row r="63" spans="2:10" x14ac:dyDescent="0.25">
      <c r="B63" s="370"/>
      <c r="C63" s="370"/>
      <c r="D63" s="370"/>
      <c r="E63" s="370"/>
      <c r="F63" s="370"/>
      <c r="G63" s="370"/>
      <c r="H63" s="370"/>
      <c r="I63" s="370"/>
      <c r="J63" s="370"/>
    </row>
    <row r="64" spans="2:10" x14ac:dyDescent="0.25">
      <c r="B64" s="370"/>
      <c r="C64" s="370"/>
      <c r="D64" s="370"/>
      <c r="E64" s="370"/>
      <c r="F64" s="370"/>
      <c r="G64" s="370"/>
      <c r="H64" s="370"/>
      <c r="I64" s="370"/>
      <c r="J64" s="370"/>
    </row>
    <row r="65" spans="2:10" x14ac:dyDescent="0.25">
      <c r="B65" s="370"/>
      <c r="C65" s="370"/>
      <c r="D65" s="370"/>
      <c r="E65" s="370"/>
      <c r="F65" s="370"/>
      <c r="G65" s="370"/>
      <c r="H65" s="370"/>
      <c r="I65" s="370"/>
      <c r="J65" s="370"/>
    </row>
    <row r="66" spans="2:10" x14ac:dyDescent="0.25">
      <c r="B66" s="370"/>
      <c r="C66" s="370"/>
      <c r="D66" s="370"/>
      <c r="E66" s="370"/>
      <c r="F66" s="370"/>
      <c r="G66" s="370"/>
      <c r="H66" s="370"/>
      <c r="I66" s="370"/>
      <c r="J66" s="370"/>
    </row>
    <row r="67" spans="2:10" x14ac:dyDescent="0.25">
      <c r="B67" s="370"/>
      <c r="C67" s="370"/>
      <c r="D67" s="370"/>
      <c r="E67" s="370"/>
      <c r="F67" s="370"/>
      <c r="G67" s="370"/>
      <c r="H67" s="370"/>
      <c r="I67" s="370"/>
      <c r="J67" s="370"/>
    </row>
    <row r="68" spans="2:10" x14ac:dyDescent="0.25">
      <c r="B68" s="370"/>
      <c r="C68" s="370"/>
      <c r="D68" s="370"/>
      <c r="E68" s="370"/>
      <c r="F68" s="370"/>
      <c r="G68" s="370"/>
      <c r="H68" s="370"/>
      <c r="I68" s="370"/>
      <c r="J68" s="370"/>
    </row>
    <row r="69" spans="2:10" x14ac:dyDescent="0.25">
      <c r="B69" s="370"/>
      <c r="C69" s="370"/>
      <c r="D69" s="370"/>
      <c r="E69" s="370"/>
      <c r="F69" s="370"/>
      <c r="G69" s="370"/>
      <c r="H69" s="370"/>
      <c r="I69" s="370"/>
      <c r="J69" s="370"/>
    </row>
    <row r="70" spans="2:10" x14ac:dyDescent="0.25">
      <c r="B70" s="370"/>
      <c r="C70" s="370"/>
      <c r="D70" s="370"/>
      <c r="E70" s="370"/>
      <c r="F70" s="370"/>
      <c r="G70" s="370"/>
      <c r="H70" s="370"/>
      <c r="I70" s="370"/>
      <c r="J70" s="370"/>
    </row>
    <row r="71" spans="2:10" x14ac:dyDescent="0.25">
      <c r="B71" s="370"/>
      <c r="C71" s="370"/>
      <c r="D71" s="370"/>
      <c r="E71" s="370"/>
      <c r="F71" s="370"/>
      <c r="G71" s="370"/>
      <c r="H71" s="370"/>
      <c r="I71" s="370"/>
      <c r="J71" s="370"/>
    </row>
    <row r="72" spans="2:10" x14ac:dyDescent="0.25">
      <c r="B72" s="370"/>
      <c r="C72" s="370"/>
      <c r="D72" s="370"/>
      <c r="E72" s="370"/>
      <c r="F72" s="370"/>
      <c r="G72" s="370"/>
      <c r="H72" s="370"/>
      <c r="I72" s="370"/>
      <c r="J72" s="370"/>
    </row>
    <row r="73" spans="2:10" x14ac:dyDescent="0.25">
      <c r="B73" s="370"/>
      <c r="C73" s="370"/>
      <c r="D73" s="370"/>
      <c r="E73" s="370"/>
      <c r="F73" s="370"/>
      <c r="G73" s="370"/>
      <c r="H73" s="370"/>
      <c r="I73" s="370"/>
      <c r="J73" s="370"/>
    </row>
    <row r="74" spans="2:10" x14ac:dyDescent="0.25">
      <c r="B74" s="370"/>
      <c r="C74" s="370"/>
      <c r="D74" s="370"/>
      <c r="E74" s="370"/>
      <c r="F74" s="370"/>
      <c r="G74" s="370"/>
      <c r="H74" s="370"/>
      <c r="I74" s="370"/>
      <c r="J74" s="370"/>
    </row>
    <row r="75" spans="2:10" x14ac:dyDescent="0.25">
      <c r="B75" s="370"/>
      <c r="C75" s="370"/>
      <c r="D75" s="370"/>
      <c r="E75" s="370"/>
      <c r="F75" s="370"/>
      <c r="G75" s="370"/>
      <c r="H75" s="370"/>
      <c r="I75" s="370"/>
      <c r="J75" s="370"/>
    </row>
    <row r="76" spans="2:10" x14ac:dyDescent="0.25">
      <c r="B76" s="370"/>
      <c r="C76" s="370"/>
      <c r="D76" s="370"/>
      <c r="E76" s="370"/>
      <c r="F76" s="370"/>
      <c r="G76" s="370"/>
      <c r="H76" s="370"/>
      <c r="I76" s="370"/>
      <c r="J76" s="370"/>
    </row>
  </sheetData>
  <sheetProtection sheet="1" objects="1" scenarios="1"/>
  <mergeCells count="5">
    <mergeCell ref="C12:D12"/>
    <mergeCell ref="C28:D28"/>
    <mergeCell ref="B29:E29"/>
    <mergeCell ref="D32:E32"/>
    <mergeCell ref="B18:G18"/>
  </mergeCells>
  <dataValidations count="2">
    <dataValidation type="list" allowBlank="1" showInputMessage="1" showErrorMessage="1" sqref="C20" xr:uid="{00000000-0002-0000-0E00-000000000000}">
      <formula1>$F$19:$F$28</formula1>
    </dataValidation>
    <dataValidation type="list" allowBlank="1" showInputMessage="1" showErrorMessage="1" sqref="D21" xr:uid="{00000000-0002-0000-0E00-000001000000}">
      <formula1>$G$19:$G$22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304800</xdr:colOff>
                    <xdr:row>39</xdr:row>
                    <xdr:rowOff>123825</xdr:rowOff>
                  </from>
                  <to>
                    <xdr:col>1</xdr:col>
                    <xdr:colOff>609600</xdr:colOff>
                    <xdr:row>41</xdr:row>
                    <xdr:rowOff>114300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133350</xdr:colOff>
                    <xdr:row>39</xdr:row>
                    <xdr:rowOff>152400</xdr:rowOff>
                  </from>
                  <to>
                    <xdr:col>3</xdr:col>
                    <xdr:colOff>438150</xdr:colOff>
                    <xdr:row>41</xdr:row>
                    <xdr:rowOff>85725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5</xdr:col>
                    <xdr:colOff>571500</xdr:colOff>
                    <xdr:row>39</xdr:row>
                    <xdr:rowOff>161925</xdr:rowOff>
                  </from>
                  <to>
                    <xdr:col>5</xdr:col>
                    <xdr:colOff>1028700</xdr:colOff>
                    <xdr:row>41</xdr:row>
                    <xdr:rowOff>104775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xdr:col>
                    <xdr:colOff>304800</xdr:colOff>
                    <xdr:row>67</xdr:row>
                    <xdr:rowOff>123825</xdr:rowOff>
                  </from>
                  <to>
                    <xdr:col>1</xdr:col>
                    <xdr:colOff>609600</xdr:colOff>
                    <xdr:row>69</xdr:row>
                    <xdr:rowOff>152400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133350</xdr:colOff>
                    <xdr:row>67</xdr:row>
                    <xdr:rowOff>152400</xdr:rowOff>
                  </from>
                  <to>
                    <xdr:col>3</xdr:col>
                    <xdr:colOff>438150</xdr:colOff>
                    <xdr:row>69</xdr:row>
                    <xdr:rowOff>123825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5</xdr:col>
                    <xdr:colOff>571500</xdr:colOff>
                    <xdr:row>67</xdr:row>
                    <xdr:rowOff>161925</xdr:rowOff>
                  </from>
                  <to>
                    <xdr:col>5</xdr:col>
                    <xdr:colOff>1028700</xdr:colOff>
                    <xdr:row>69</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43</vt:i4>
      </vt:variant>
    </vt:vector>
  </HeadingPairs>
  <TitlesOfParts>
    <vt:vector size="58" baseType="lpstr">
      <vt:lpstr>Summary</vt:lpstr>
      <vt:lpstr>Level 1</vt:lpstr>
      <vt:lpstr>Level 2</vt:lpstr>
      <vt:lpstr>Level 3</vt:lpstr>
      <vt:lpstr>Level 4</vt:lpstr>
      <vt:lpstr>Level 5</vt:lpstr>
      <vt:lpstr>Level 6</vt:lpstr>
      <vt:lpstr>Level 7</vt:lpstr>
      <vt:lpstr>Level 8</vt:lpstr>
      <vt:lpstr>Level 9</vt:lpstr>
      <vt:lpstr>Level 10</vt:lpstr>
      <vt:lpstr>Man Hours</vt:lpstr>
      <vt:lpstr>Misc. Items</vt:lpstr>
      <vt:lpstr>Misc. Calculators</vt:lpstr>
      <vt:lpstr>Materials Calculators</vt:lpstr>
      <vt:lpstr>BB445_</vt:lpstr>
      <vt:lpstr>BB645_</vt:lpstr>
      <vt:lpstr>BB690_</vt:lpstr>
      <vt:lpstr>BB6BL</vt:lpstr>
      <vt:lpstr>BB6DT</vt:lpstr>
      <vt:lpstr>BB845_</vt:lpstr>
      <vt:lpstr>BB890_</vt:lpstr>
      <vt:lpstr>BB8BL</vt:lpstr>
      <vt:lpstr>BB8DT</vt:lpstr>
      <vt:lpstr>BDA</vt:lpstr>
      <vt:lpstr>BDB</vt:lpstr>
      <vt:lpstr>BL1090_</vt:lpstr>
      <vt:lpstr>BL1290_</vt:lpstr>
      <vt:lpstr>BLA</vt:lpstr>
      <vt:lpstr>BLB</vt:lpstr>
      <vt:lpstr>BlocksA</vt:lpstr>
      <vt:lpstr>BlocksB</vt:lpstr>
      <vt:lpstr>DTA</vt:lpstr>
      <vt:lpstr>DTB</vt:lpstr>
      <vt:lpstr>Summary!Extract</vt:lpstr>
      <vt:lpstr>FortyfivesA</vt:lpstr>
      <vt:lpstr>FortyfivesB</vt:lpstr>
      <vt:lpstr>Level1</vt:lpstr>
      <vt:lpstr>Level2</vt:lpstr>
      <vt:lpstr>Level3</vt:lpstr>
      <vt:lpstr>Level4</vt:lpstr>
      <vt:lpstr>Level5</vt:lpstr>
      <vt:lpstr>Level6</vt:lpstr>
      <vt:lpstr>Level7</vt:lpstr>
      <vt:lpstr>NinetiesA</vt:lpstr>
      <vt:lpstr>NinetiesB</vt:lpstr>
      <vt:lpstr>'Level 1'!Print_Area</vt:lpstr>
      <vt:lpstr>'Level 10'!Print_Area</vt:lpstr>
      <vt:lpstr>'Level 2'!Print_Area</vt:lpstr>
      <vt:lpstr>'Level 3'!Print_Area</vt:lpstr>
      <vt:lpstr>'Level 4'!Print_Area</vt:lpstr>
      <vt:lpstr>'Level 5'!Print_Area</vt:lpstr>
      <vt:lpstr>'Level 6'!Print_Area</vt:lpstr>
      <vt:lpstr>'Level 7'!Print_Area</vt:lpstr>
      <vt:lpstr>'Level 8'!Print_Area</vt:lpstr>
      <vt:lpstr>'Level 9'!Print_Area</vt:lpstr>
      <vt:lpstr>Summary!Print_Area</vt:lpstr>
      <vt:lpstr>Rebar</vt:lpstr>
    </vt:vector>
  </TitlesOfParts>
  <Company>BuildBlock Building Systems,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Downey</dc:creator>
  <cp:lastModifiedBy>Rebecca Downey</cp:lastModifiedBy>
  <cp:lastPrinted>2018-06-15T17:24:49Z</cp:lastPrinted>
  <dcterms:created xsi:type="dcterms:W3CDTF">2012-09-06T20:28:19Z</dcterms:created>
  <dcterms:modified xsi:type="dcterms:W3CDTF">2019-07-19T17:29:40Z</dcterms:modified>
</cp:coreProperties>
</file>